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https://d.docs.live.net/f82d940dba416865/Documentos/SECRETARIA GENERAL 2026/OTROSÍ AL CONTRATO LP-SEGD-001-2024/"/>
    </mc:Choice>
  </mc:AlternateContent>
  <xr:revisionPtr revIDLastSave="4" documentId="8_{CF9CC59E-9B99-493D-93F6-C07D63EA3246}" xr6:coauthVersionLast="47" xr6:coauthVersionMax="47" xr10:uidLastSave="{6FB55077-4313-4D67-8D8C-7CF22D8A6B2A}"/>
  <bookViews>
    <workbookView xWindow="-120" yWindow="-120" windowWidth="29040" windowHeight="15720" activeTab="1" xr2:uid="{1AD4311A-95E8-47AD-A702-28326F2A28D1}"/>
  </bookViews>
  <sheets>
    <sheet name="MEMORIAS DE CANTIDADES" sheetId="270" r:id="rId1"/>
    <sheet name="PROPUESTA ECONOMICA(Proponente)" sheetId="269" r:id="rId2"/>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#REF!</definedName>
    <definedName name="_APU465" localSheetId="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1" hidden="1">'PROPUESTA ECONOMICA(Proponente)'!#REF!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'PROPUESTA ECONOMICA(Proponente)'!$A$1:$V$777</definedName>
    <definedName name="_xlnm.Print_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stomize" localSheetId="1">#REF!</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 localSheetId="1">#REF!</definedName>
    <definedName name="PRUEBA">#REF!</definedName>
    <definedName name="prueba1" localSheetId="1">#REF!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1" hidden="1">'PROPUESTA ECONOMICA(Proponente)'!#REF!</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'PROPUESTA ECONOMICA(Proponente)'!$K$765</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'PROPUESTA ECONOMICA(Proponente)'!$K$765</definedName>
    <definedName name="solver_pre" localSheetId="1" hidden="1">0.000001</definedName>
    <definedName name="solver_rel1" localSheetId="1" hidden="1">2</definedName>
    <definedName name="solver_rhs1" localSheetId="1" hidden="1">'PROPUESTA ECONOMICA(Proponente)'!$K$766</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#REF!</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366" i="269" l="1"/>
  <c r="V312" i="269"/>
  <c r="V373" i="269"/>
  <c r="U372" i="269"/>
  <c r="F1086" i="270" l="1"/>
  <c r="F1110" i="270"/>
  <c r="O354" i="269"/>
  <c r="I2569" i="270"/>
  <c r="C2558" i="270"/>
  <c r="U323" i="269"/>
  <c r="C355" i="269"/>
  <c r="K355" i="269"/>
  <c r="M355" i="269"/>
  <c r="O355" i="269" s="1"/>
  <c r="S355" i="269"/>
  <c r="U355" i="269" s="1"/>
  <c r="T355" i="269"/>
  <c r="C356" i="269"/>
  <c r="K356" i="269"/>
  <c r="M356" i="269"/>
  <c r="O356" i="269" s="1"/>
  <c r="S356" i="269"/>
  <c r="N356" i="269" s="1"/>
  <c r="P356" i="269" s="1"/>
  <c r="T356" i="269"/>
  <c r="U356" i="269" s="1"/>
  <c r="Q356" i="269" l="1"/>
  <c r="N355" i="269"/>
  <c r="P355" i="269" s="1"/>
  <c r="Q355" i="269" s="1"/>
  <c r="S595" i="269" l="1"/>
  <c r="S594" i="269"/>
  <c r="T322" i="269" l="1"/>
  <c r="S322" i="269"/>
  <c r="U322" i="269" s="1"/>
  <c r="M322" i="269"/>
  <c r="O322" i="269" s="1"/>
  <c r="K322" i="269"/>
  <c r="C2536" i="270"/>
  <c r="C2535" i="270"/>
  <c r="C2537" i="270"/>
  <c r="D3065" i="270"/>
  <c r="L3065" i="270"/>
  <c r="L3063" i="270"/>
  <c r="F3061" i="270"/>
  <c r="L3061" i="270" s="1"/>
  <c r="L3060" i="270"/>
  <c r="L3059" i="270"/>
  <c r="L3058" i="270"/>
  <c r="L3055" i="270"/>
  <c r="L3054" i="270"/>
  <c r="L3053" i="270"/>
  <c r="L3052" i="270"/>
  <c r="L3051" i="270"/>
  <c r="L3050" i="270"/>
  <c r="L3049" i="270"/>
  <c r="L3048" i="270"/>
  <c r="L3047" i="270"/>
  <c r="L3046" i="270"/>
  <c r="N322" i="269" l="1"/>
  <c r="P322" i="269" s="1"/>
  <c r="Q322" i="269" s="1"/>
  <c r="F1737" i="270"/>
  <c r="L1737" i="270" s="1"/>
  <c r="F1736" i="270"/>
  <c r="L1736" i="270" s="1"/>
  <c r="F1735" i="270"/>
  <c r="L1735" i="270" s="1"/>
  <c r="C1734" i="270"/>
  <c r="L1734" i="270" s="1"/>
  <c r="L1733" i="270"/>
  <c r="L1732" i="270"/>
  <c r="L4393" i="270"/>
  <c r="L4392" i="270"/>
  <c r="L4391" i="270"/>
  <c r="L4390" i="270"/>
  <c r="L4389" i="270"/>
  <c r="L4388" i="270"/>
  <c r="L4387" i="270"/>
  <c r="L4386" i="270"/>
  <c r="L4385" i="270"/>
  <c r="S103" i="269"/>
  <c r="M103" i="269" s="1"/>
  <c r="S455" i="269"/>
  <c r="N155" i="269"/>
  <c r="M156" i="269"/>
  <c r="L1354" i="270"/>
  <c r="L1301" i="270"/>
  <c r="L1253" i="270"/>
  <c r="L5305" i="270"/>
  <c r="L5307" i="270"/>
  <c r="L5308" i="270"/>
  <c r="L5309" i="270"/>
  <c r="F5306" i="270"/>
  <c r="L5306" i="270" s="1"/>
  <c r="F5304" i="270"/>
  <c r="L5304" i="270" s="1"/>
  <c r="L5303" i="270"/>
  <c r="L5302" i="270"/>
  <c r="L5301" i="270"/>
  <c r="L5300" i="270"/>
  <c r="L5299" i="270"/>
  <c r="L5298" i="270"/>
  <c r="L5297" i="270"/>
  <c r="L5296" i="270"/>
  <c r="L5295" i="270"/>
  <c r="T340" i="269" l="1"/>
  <c r="S340" i="269"/>
  <c r="N340" i="269" s="1"/>
  <c r="P340" i="269" s="1"/>
  <c r="M340" i="269"/>
  <c r="O340" i="269" s="1"/>
  <c r="K340" i="269"/>
  <c r="M689" i="269"/>
  <c r="T689" i="269"/>
  <c r="K689" i="269"/>
  <c r="T692" i="269"/>
  <c r="U340" i="269" l="1"/>
  <c r="Q340" i="269"/>
  <c r="O689" i="269"/>
  <c r="S689" i="269"/>
  <c r="U689" i="269" s="1"/>
  <c r="K690" i="269"/>
  <c r="M698" i="269"/>
  <c r="O698" i="269" s="1"/>
  <c r="M699" i="269"/>
  <c r="O699" i="269" s="1"/>
  <c r="M700" i="269"/>
  <c r="O700" i="269" s="1"/>
  <c r="N700" i="269"/>
  <c r="P700" i="269" s="1"/>
  <c r="M697" i="269"/>
  <c r="O697" i="269" s="1"/>
  <c r="M679" i="269"/>
  <c r="O679" i="269" s="1"/>
  <c r="M680" i="269"/>
  <c r="O680" i="269" s="1"/>
  <c r="M681" i="269"/>
  <c r="O681" i="269" s="1"/>
  <c r="M670" i="269"/>
  <c r="M671" i="269"/>
  <c r="M672" i="269"/>
  <c r="M669" i="269"/>
  <c r="S361" i="269"/>
  <c r="N361" i="269" s="1"/>
  <c r="P361" i="269" s="1"/>
  <c r="S362" i="269"/>
  <c r="N362" i="269" s="1"/>
  <c r="P362" i="269" s="1"/>
  <c r="S349" i="269"/>
  <c r="N349" i="269" s="1"/>
  <c r="P349" i="269" s="1"/>
  <c r="S350" i="269"/>
  <c r="N350" i="269" s="1"/>
  <c r="P350" i="269" s="1"/>
  <c r="S351" i="269"/>
  <c r="N351" i="269" s="1"/>
  <c r="P351" i="269" s="1"/>
  <c r="S352" i="269"/>
  <c r="N352" i="269" s="1"/>
  <c r="P352" i="269" s="1"/>
  <c r="S353" i="269"/>
  <c r="N353" i="269" s="1"/>
  <c r="P353" i="269" s="1"/>
  <c r="S354" i="269"/>
  <c r="N354" i="269" s="1"/>
  <c r="P354" i="269" s="1"/>
  <c r="S348" i="269"/>
  <c r="N348" i="269" s="1"/>
  <c r="P348" i="269" s="1"/>
  <c r="S339" i="269"/>
  <c r="N339" i="269" s="1"/>
  <c r="P339" i="269" s="1"/>
  <c r="S336" i="269"/>
  <c r="N336" i="269" s="1"/>
  <c r="S334" i="269"/>
  <c r="N334" i="269" s="1"/>
  <c r="P334" i="269" s="1"/>
  <c r="S329" i="269"/>
  <c r="S330" i="269"/>
  <c r="N330" i="269" s="1"/>
  <c r="P330" i="269" s="1"/>
  <c r="S331" i="269"/>
  <c r="N331" i="269" s="1"/>
  <c r="P331" i="269" s="1"/>
  <c r="S328" i="269"/>
  <c r="N328" i="269" s="1"/>
  <c r="P328" i="269" s="1"/>
  <c r="S325" i="269"/>
  <c r="S321" i="269"/>
  <c r="S319" i="269"/>
  <c r="T320" i="269"/>
  <c r="T321" i="269"/>
  <c r="T319" i="269"/>
  <c r="T329" i="269"/>
  <c r="T330" i="269"/>
  <c r="T331" i="269"/>
  <c r="T328" i="269"/>
  <c r="T335" i="269"/>
  <c r="T334" i="269"/>
  <c r="T339" i="269"/>
  <c r="T343" i="269"/>
  <c r="T344" i="269"/>
  <c r="T345" i="269"/>
  <c r="T348" i="269"/>
  <c r="T349" i="269"/>
  <c r="T350" i="269"/>
  <c r="T351" i="269"/>
  <c r="T352" i="269"/>
  <c r="T353" i="269"/>
  <c r="T354" i="269"/>
  <c r="T359" i="269"/>
  <c r="T360" i="269"/>
  <c r="T361" i="269"/>
  <c r="T362" i="269"/>
  <c r="M361" i="269"/>
  <c r="O361" i="269" s="1"/>
  <c r="M362" i="269"/>
  <c r="O362" i="269" s="1"/>
  <c r="M349" i="269"/>
  <c r="O349" i="269" s="1"/>
  <c r="M350" i="269"/>
  <c r="O350" i="269" s="1"/>
  <c r="M351" i="269"/>
  <c r="O351" i="269" s="1"/>
  <c r="M352" i="269"/>
  <c r="O352" i="269" s="1"/>
  <c r="M353" i="269"/>
  <c r="O353" i="269" s="1"/>
  <c r="M354" i="269"/>
  <c r="M348" i="269"/>
  <c r="O348" i="269" s="1"/>
  <c r="M339" i="269"/>
  <c r="O339" i="269" s="1"/>
  <c r="O341" i="269" s="1"/>
  <c r="M336" i="269"/>
  <c r="M334" i="269"/>
  <c r="O334" i="269" s="1"/>
  <c r="M329" i="269"/>
  <c r="O329" i="269" s="1"/>
  <c r="M330" i="269"/>
  <c r="O330" i="269" s="1"/>
  <c r="M331" i="269"/>
  <c r="O331" i="269" s="1"/>
  <c r="M328" i="269"/>
  <c r="K331" i="269"/>
  <c r="K330" i="269"/>
  <c r="S681" i="269"/>
  <c r="N681" i="269" s="1"/>
  <c r="P681" i="269" s="1"/>
  <c r="T681" i="269"/>
  <c r="K681" i="269"/>
  <c r="M705" i="269"/>
  <c r="S705" i="269" s="1"/>
  <c r="M707" i="269"/>
  <c r="S707" i="269" s="1"/>
  <c r="M708" i="269"/>
  <c r="S708" i="269" s="1"/>
  <c r="M710" i="269"/>
  <c r="S710" i="269" s="1"/>
  <c r="M712" i="269"/>
  <c r="S712" i="269" s="1"/>
  <c r="M713" i="269"/>
  <c r="S713" i="269" s="1"/>
  <c r="M714" i="269"/>
  <c r="S714" i="269" s="1"/>
  <c r="M715" i="269"/>
  <c r="S715" i="269" s="1"/>
  <c r="M716" i="269"/>
  <c r="S716" i="269" s="1"/>
  <c r="M717" i="269"/>
  <c r="S717" i="269" s="1"/>
  <c r="M718" i="269"/>
  <c r="S718" i="269" s="1"/>
  <c r="M719" i="269"/>
  <c r="S719" i="269" s="1"/>
  <c r="M720" i="269"/>
  <c r="S720" i="269" s="1"/>
  <c r="M721" i="269"/>
  <c r="S721" i="269" s="1"/>
  <c r="M722" i="269"/>
  <c r="S722" i="269" s="1"/>
  <c r="M723" i="269"/>
  <c r="S723" i="269" s="1"/>
  <c r="M724" i="269"/>
  <c r="S724" i="269" s="1"/>
  <c r="M725" i="269"/>
  <c r="S725" i="269" s="1"/>
  <c r="M726" i="269"/>
  <c r="S726" i="269" s="1"/>
  <c r="M727" i="269"/>
  <c r="S727" i="269" s="1"/>
  <c r="M728" i="269"/>
  <c r="S728" i="269" s="1"/>
  <c r="M729" i="269"/>
  <c r="S729" i="269" s="1"/>
  <c r="M730" i="269"/>
  <c r="S730" i="269" s="1"/>
  <c r="M731" i="269"/>
  <c r="S731" i="269" s="1"/>
  <c r="M732" i="269"/>
  <c r="S732" i="269" s="1"/>
  <c r="M733" i="269"/>
  <c r="S733" i="269" s="1"/>
  <c r="M734" i="269"/>
  <c r="S734" i="269" s="1"/>
  <c r="M735" i="269"/>
  <c r="S735" i="269" s="1"/>
  <c r="M736" i="269"/>
  <c r="S736" i="269" s="1"/>
  <c r="M737" i="269"/>
  <c r="S737" i="269" s="1"/>
  <c r="M738" i="269"/>
  <c r="S738" i="269" s="1"/>
  <c r="M739" i="269"/>
  <c r="S739" i="269" s="1"/>
  <c r="M740" i="269"/>
  <c r="S740" i="269" s="1"/>
  <c r="M741" i="269"/>
  <c r="S741" i="269" s="1"/>
  <c r="M742" i="269"/>
  <c r="S742" i="269" s="1"/>
  <c r="M743" i="269"/>
  <c r="S743" i="269" s="1"/>
  <c r="M744" i="269"/>
  <c r="S744" i="269" s="1"/>
  <c r="M745" i="269"/>
  <c r="S745" i="269" s="1"/>
  <c r="M746" i="269"/>
  <c r="S746" i="269" s="1"/>
  <c r="L4759" i="270"/>
  <c r="T694" i="269"/>
  <c r="T693" i="269"/>
  <c r="O357" i="269" l="1"/>
  <c r="U690" i="269"/>
  <c r="N689" i="269"/>
  <c r="P689" i="269" s="1"/>
  <c r="Q689" i="269" s="1"/>
  <c r="Q690" i="269" s="1"/>
  <c r="O690" i="269"/>
  <c r="Q362" i="269"/>
  <c r="Q331" i="269"/>
  <c r="Q361" i="269"/>
  <c r="U681" i="269"/>
  <c r="Q700" i="269"/>
  <c r="Q681" i="269"/>
  <c r="Q350" i="269"/>
  <c r="Q353" i="269"/>
  <c r="Q352" i="269"/>
  <c r="Q348" i="269"/>
  <c r="Q339" i="269"/>
  <c r="Q341" i="269" s="1"/>
  <c r="Q334" i="269"/>
  <c r="Q330" i="269"/>
  <c r="Q349" i="269"/>
  <c r="Q354" i="269"/>
  <c r="Q351" i="269"/>
  <c r="U331" i="269"/>
  <c r="U330" i="269"/>
  <c r="Q357" i="269" l="1"/>
  <c r="I703" i="269"/>
  <c r="M703" i="269" s="1"/>
  <c r="S652" i="269" l="1"/>
  <c r="K362" i="269"/>
  <c r="T680" i="269"/>
  <c r="T746" i="269"/>
  <c r="K680" i="269"/>
  <c r="K746" i="269"/>
  <c r="O746" i="269"/>
  <c r="N746" i="269"/>
  <c r="P746" i="269" s="1"/>
  <c r="S680" i="269"/>
  <c r="N680" i="269" s="1"/>
  <c r="P680" i="269" s="1"/>
  <c r="Q680" i="269" s="1"/>
  <c r="J5313" i="270"/>
  <c r="D5313" i="270"/>
  <c r="L5325" i="270"/>
  <c r="L5324" i="270"/>
  <c r="L5323" i="270"/>
  <c r="L5322" i="270"/>
  <c r="L5321" i="270"/>
  <c r="L5320" i="270"/>
  <c r="L5319" i="270"/>
  <c r="C5313" i="270"/>
  <c r="T706" i="269"/>
  <c r="S243" i="269"/>
  <c r="S244" i="269"/>
  <c r="S245" i="269"/>
  <c r="S240" i="269"/>
  <c r="S239" i="269"/>
  <c r="S238" i="269"/>
  <c r="S225" i="269"/>
  <c r="N670" i="269"/>
  <c r="N671" i="269"/>
  <c r="O670" i="269"/>
  <c r="O671" i="269"/>
  <c r="O672" i="269"/>
  <c r="U361" i="269"/>
  <c r="P341" i="269"/>
  <c r="L3074" i="270"/>
  <c r="U362" i="269" l="1"/>
  <c r="Q746" i="269"/>
  <c r="U746" i="269"/>
  <c r="U680" i="269"/>
  <c r="L5313" i="270"/>
  <c r="I706" i="269" s="1"/>
  <c r="P357" i="269"/>
  <c r="M706" i="269" l="1"/>
  <c r="S706" i="269" s="1"/>
  <c r="K706" i="269"/>
  <c r="O706" i="269" l="1"/>
  <c r="U706" i="269"/>
  <c r="N706" i="269"/>
  <c r="P706" i="269" s="1"/>
  <c r="Q706" i="269" l="1"/>
  <c r="N741" i="269" l="1"/>
  <c r="P741" i="269" s="1"/>
  <c r="T741" i="269"/>
  <c r="T742" i="269"/>
  <c r="N743" i="269"/>
  <c r="P743" i="269" s="1"/>
  <c r="T743" i="269"/>
  <c r="N744" i="269"/>
  <c r="P744" i="269" s="1"/>
  <c r="T744" i="269"/>
  <c r="N745" i="269"/>
  <c r="P745" i="269" s="1"/>
  <c r="T745" i="269"/>
  <c r="O741" i="269"/>
  <c r="O742" i="269"/>
  <c r="O743" i="269"/>
  <c r="O744" i="269"/>
  <c r="O745" i="269"/>
  <c r="K741" i="269"/>
  <c r="K742" i="269"/>
  <c r="K743" i="269"/>
  <c r="K744" i="269"/>
  <c r="K745" i="269"/>
  <c r="I711" i="269"/>
  <c r="M711" i="269" s="1"/>
  <c r="S711" i="269" s="1"/>
  <c r="I709" i="269"/>
  <c r="M709" i="269" s="1"/>
  <c r="S709" i="269" s="1"/>
  <c r="O731" i="269"/>
  <c r="O734" i="269"/>
  <c r="O735" i="269"/>
  <c r="O736" i="269"/>
  <c r="O737" i="269"/>
  <c r="O738" i="269"/>
  <c r="O739" i="269"/>
  <c r="O740" i="269"/>
  <c r="K731" i="269"/>
  <c r="K732" i="269"/>
  <c r="K733" i="269"/>
  <c r="K734" i="269"/>
  <c r="K735" i="269"/>
  <c r="K736" i="269"/>
  <c r="K737" i="269"/>
  <c r="K738" i="269"/>
  <c r="K739" i="269"/>
  <c r="K740" i="269"/>
  <c r="N707" i="269"/>
  <c r="P707" i="269" s="1"/>
  <c r="N708" i="269"/>
  <c r="P708" i="269" s="1"/>
  <c r="N710" i="269"/>
  <c r="P710" i="269" s="1"/>
  <c r="N712" i="269"/>
  <c r="P712" i="269" s="1"/>
  <c r="N713" i="269"/>
  <c r="P713" i="269" s="1"/>
  <c r="N714" i="269"/>
  <c r="P714" i="269" s="1"/>
  <c r="N715" i="269"/>
  <c r="P715" i="269" s="1"/>
  <c r="N718" i="269"/>
  <c r="P718" i="269" s="1"/>
  <c r="N719" i="269"/>
  <c r="P719" i="269" s="1"/>
  <c r="N720" i="269"/>
  <c r="P720" i="269" s="1"/>
  <c r="N722" i="269"/>
  <c r="P722" i="269" s="1"/>
  <c r="N724" i="269"/>
  <c r="P724" i="269" s="1"/>
  <c r="N725" i="269"/>
  <c r="P725" i="269" s="1"/>
  <c r="N726" i="269"/>
  <c r="P726" i="269" s="1"/>
  <c r="N727" i="269"/>
  <c r="P727" i="269" s="1"/>
  <c r="N730" i="269"/>
  <c r="P730" i="269" s="1"/>
  <c r="N731" i="269"/>
  <c r="P731" i="269" s="1"/>
  <c r="N732" i="269"/>
  <c r="P732" i="269" s="1"/>
  <c r="N733" i="269"/>
  <c r="P733" i="269" s="1"/>
  <c r="N734" i="269"/>
  <c r="P734" i="269" s="1"/>
  <c r="N735" i="269"/>
  <c r="N736" i="269"/>
  <c r="P736" i="269" s="1"/>
  <c r="N737" i="269"/>
  <c r="P737" i="269" s="1"/>
  <c r="N739" i="269"/>
  <c r="P739" i="269" s="1"/>
  <c r="N705" i="269"/>
  <c r="P705" i="269" s="1"/>
  <c r="T705" i="269"/>
  <c r="T704" i="269"/>
  <c r="T708" i="269"/>
  <c r="T709" i="269"/>
  <c r="T710" i="269"/>
  <c r="T711" i="269"/>
  <c r="T712" i="269"/>
  <c r="T713" i="269"/>
  <c r="T714" i="269"/>
  <c r="T715" i="269"/>
  <c r="T716" i="269"/>
  <c r="T717" i="269"/>
  <c r="T718" i="269"/>
  <c r="T719" i="269"/>
  <c r="T720" i="269"/>
  <c r="T721" i="269"/>
  <c r="T722" i="269"/>
  <c r="T723" i="269"/>
  <c r="T724" i="269"/>
  <c r="T725" i="269"/>
  <c r="T726" i="269"/>
  <c r="T727" i="269"/>
  <c r="T728" i="269"/>
  <c r="T729" i="269"/>
  <c r="T730" i="269"/>
  <c r="T734" i="269"/>
  <c r="T735" i="269"/>
  <c r="T736" i="269"/>
  <c r="T737" i="269"/>
  <c r="T738" i="269"/>
  <c r="T739" i="269"/>
  <c r="T740" i="269"/>
  <c r="T707" i="269"/>
  <c r="O708" i="269"/>
  <c r="O710" i="269"/>
  <c r="O712" i="269"/>
  <c r="O713" i="269"/>
  <c r="O714" i="269"/>
  <c r="O715" i="269"/>
  <c r="O716" i="269"/>
  <c r="O717" i="269"/>
  <c r="O718" i="269"/>
  <c r="O719" i="269"/>
  <c r="O720" i="269"/>
  <c r="O721" i="269"/>
  <c r="O722" i="269"/>
  <c r="O723" i="269"/>
  <c r="O724" i="269"/>
  <c r="O725" i="269"/>
  <c r="O726" i="269"/>
  <c r="O727" i="269"/>
  <c r="O728" i="269"/>
  <c r="O729" i="269"/>
  <c r="O730" i="269"/>
  <c r="O707" i="269"/>
  <c r="S698" i="269"/>
  <c r="N698" i="269" s="1"/>
  <c r="P698" i="269" s="1"/>
  <c r="Q698" i="269" s="1"/>
  <c r="K707" i="269"/>
  <c r="K708" i="269"/>
  <c r="K710" i="269"/>
  <c r="K712" i="269"/>
  <c r="K713" i="269"/>
  <c r="K714" i="269"/>
  <c r="K715" i="269"/>
  <c r="K716" i="269"/>
  <c r="K717" i="269"/>
  <c r="K718" i="269"/>
  <c r="K719" i="269"/>
  <c r="K720" i="269"/>
  <c r="K721" i="269"/>
  <c r="K722" i="269"/>
  <c r="K723" i="269"/>
  <c r="K724" i="269"/>
  <c r="K725" i="269"/>
  <c r="K726" i="269"/>
  <c r="K727" i="269"/>
  <c r="K728" i="269"/>
  <c r="K729" i="269"/>
  <c r="K730" i="269"/>
  <c r="L5116" i="270"/>
  <c r="F5114" i="270"/>
  <c r="L5114" i="270" s="1"/>
  <c r="L5113" i="270"/>
  <c r="L5112" i="270"/>
  <c r="L5111" i="270"/>
  <c r="L5080" i="270"/>
  <c r="L5079" i="270"/>
  <c r="L5078" i="270"/>
  <c r="L2537" i="270"/>
  <c r="U708" i="269" l="1"/>
  <c r="U727" i="269"/>
  <c r="U726" i="269"/>
  <c r="U714" i="269"/>
  <c r="U741" i="269"/>
  <c r="U743" i="269"/>
  <c r="U742" i="269"/>
  <c r="N742" i="269"/>
  <c r="P742" i="269" s="1"/>
  <c r="Q742" i="269" s="1"/>
  <c r="U725" i="269"/>
  <c r="U713" i="269"/>
  <c r="U744" i="269"/>
  <c r="U721" i="269"/>
  <c r="Q713" i="269"/>
  <c r="Q712" i="269"/>
  <c r="U710" i="269"/>
  <c r="Q708" i="269"/>
  <c r="Q744" i="269"/>
  <c r="U705" i="269"/>
  <c r="U736" i="269"/>
  <c r="U723" i="269"/>
  <c r="U745" i="269"/>
  <c r="Q727" i="269"/>
  <c r="Q745" i="269"/>
  <c r="Q743" i="269"/>
  <c r="Q741" i="269"/>
  <c r="U717" i="269"/>
  <c r="Q707" i="269"/>
  <c r="U728" i="269"/>
  <c r="U716" i="269"/>
  <c r="U712" i="269"/>
  <c r="Q730" i="269"/>
  <c r="Q718" i="269"/>
  <c r="U729" i="269"/>
  <c r="U724" i="269"/>
  <c r="U722" i="269"/>
  <c r="Q715" i="269"/>
  <c r="N723" i="269"/>
  <c r="P723" i="269" s="1"/>
  <c r="Q723" i="269" s="1"/>
  <c r="Q710" i="269"/>
  <c r="Q725" i="269"/>
  <c r="U707" i="269"/>
  <c r="N721" i="269"/>
  <c r="P721" i="269" s="1"/>
  <c r="Q721" i="269" s="1"/>
  <c r="Q720" i="269"/>
  <c r="Q724" i="269"/>
  <c r="Q719" i="269"/>
  <c r="U719" i="269"/>
  <c r="Q722" i="269"/>
  <c r="U730" i="269"/>
  <c r="U718" i="269"/>
  <c r="U715" i="269"/>
  <c r="K711" i="269"/>
  <c r="O711" i="269"/>
  <c r="U711" i="269"/>
  <c r="U709" i="269"/>
  <c r="K709" i="269"/>
  <c r="O709" i="269"/>
  <c r="Q726" i="269"/>
  <c r="Q714" i="269"/>
  <c r="N729" i="269"/>
  <c r="P729" i="269" s="1"/>
  <c r="Q729" i="269" s="1"/>
  <c r="N717" i="269"/>
  <c r="P717" i="269" s="1"/>
  <c r="Q717" i="269" s="1"/>
  <c r="U720" i="269"/>
  <c r="N728" i="269"/>
  <c r="P728" i="269" s="1"/>
  <c r="Q728" i="269" s="1"/>
  <c r="N716" i="269"/>
  <c r="P716" i="269" s="1"/>
  <c r="Q716" i="269" s="1"/>
  <c r="U739" i="269"/>
  <c r="Q734" i="269"/>
  <c r="Q737" i="269"/>
  <c r="U740" i="269"/>
  <c r="U737" i="269"/>
  <c r="Q731" i="269"/>
  <c r="Q739" i="269"/>
  <c r="T733" i="269"/>
  <c r="U733" i="269" s="1"/>
  <c r="O733" i="269"/>
  <c r="Q733" i="269" s="1"/>
  <c r="T732" i="269"/>
  <c r="U732" i="269" s="1"/>
  <c r="P735" i="269"/>
  <c r="Q735" i="269" s="1"/>
  <c r="O732" i="269"/>
  <c r="Q732" i="269" s="1"/>
  <c r="T731" i="269"/>
  <c r="U731" i="269" s="1"/>
  <c r="U734" i="269"/>
  <c r="Q736" i="269"/>
  <c r="U738" i="269"/>
  <c r="N740" i="269"/>
  <c r="P740" i="269" s="1"/>
  <c r="Q740" i="269" s="1"/>
  <c r="U735" i="269"/>
  <c r="N738" i="269"/>
  <c r="P738" i="269" s="1"/>
  <c r="Q738" i="269" s="1"/>
  <c r="L3233" i="270"/>
  <c r="L3231" i="270"/>
  <c r="L3230" i="270"/>
  <c r="F5035" i="270"/>
  <c r="L5035" i="270" s="1"/>
  <c r="F4967" i="270"/>
  <c r="L4967" i="270" s="1"/>
  <c r="C5016" i="270"/>
  <c r="L5016" i="270" s="1"/>
  <c r="L5040" i="270"/>
  <c r="L5037" i="270"/>
  <c r="L5034" i="270"/>
  <c r="L5033" i="270"/>
  <c r="L5032" i="270"/>
  <c r="L5029" i="270"/>
  <c r="L5028" i="270"/>
  <c r="L5027" i="270"/>
  <c r="L5026" i="270"/>
  <c r="L5025" i="270"/>
  <c r="L5024" i="270"/>
  <c r="L5023" i="270"/>
  <c r="L5022" i="270"/>
  <c r="L5021" i="270"/>
  <c r="L5020" i="270"/>
  <c r="L5001" i="270"/>
  <c r="L4960" i="270"/>
  <c r="L4961" i="270"/>
  <c r="L4959" i="270"/>
  <c r="L4966" i="270"/>
  <c r="F4748" i="270"/>
  <c r="L4748" i="270" s="1"/>
  <c r="F4747" i="270"/>
  <c r="L4689" i="270"/>
  <c r="L4690" i="270"/>
  <c r="L4688" i="270"/>
  <c r="L4362" i="270"/>
  <c r="L4361" i="270"/>
  <c r="L4360" i="270"/>
  <c r="L4342" i="270"/>
  <c r="L4341" i="270"/>
  <c r="L4340" i="270"/>
  <c r="L4288" i="270"/>
  <c r="L4287" i="270"/>
  <c r="L4286" i="270"/>
  <c r="I4116" i="270"/>
  <c r="L4116" i="270" s="1"/>
  <c r="I4103" i="270"/>
  <c r="C4015" i="270"/>
  <c r="L3714" i="270"/>
  <c r="C2950" i="270"/>
  <c r="C2947" i="270"/>
  <c r="C2948" i="270"/>
  <c r="N711" i="269" l="1"/>
  <c r="P711" i="269" s="1"/>
  <c r="Q711" i="269" s="1"/>
  <c r="N709" i="269"/>
  <c r="P709" i="269" s="1"/>
  <c r="Q709" i="269" s="1"/>
  <c r="E2956" i="270"/>
  <c r="D2956" i="270"/>
  <c r="L3660" i="270"/>
  <c r="L3303" i="270"/>
  <c r="L3302" i="270"/>
  <c r="L3301" i="270"/>
  <c r="N241" i="269"/>
  <c r="P241" i="269" s="1"/>
  <c r="L866" i="270"/>
  <c r="L833" i="270"/>
  <c r="L618" i="270"/>
  <c r="L617" i="270"/>
  <c r="L616" i="270"/>
  <c r="L579" i="270"/>
  <c r="L578" i="270"/>
  <c r="L388" i="270"/>
  <c r="C339" i="270"/>
  <c r="D339" i="270"/>
  <c r="D338" i="270"/>
  <c r="J2133" i="270"/>
  <c r="L2133" i="270" s="1"/>
  <c r="L2124" i="270"/>
  <c r="L2123" i="270"/>
  <c r="L2122" i="270"/>
  <c r="I1521" i="270"/>
  <c r="I1467" i="270"/>
  <c r="I1393" i="270"/>
  <c r="L1571" i="270"/>
  <c r="I1524" i="270"/>
  <c r="I1488" i="270"/>
  <c r="I1517" i="270"/>
  <c r="I1491" i="270"/>
  <c r="I1447" i="270"/>
  <c r="I1394" i="270"/>
  <c r="I1415" i="270"/>
  <c r="I1429" i="270"/>
  <c r="I1451" i="270"/>
  <c r="I1402" i="270"/>
  <c r="F1127" i="270"/>
  <c r="F1007" i="270"/>
  <c r="F1006" i="270"/>
  <c r="F1063" i="270"/>
  <c r="L995" i="270"/>
  <c r="T449" i="269"/>
  <c r="U449" i="269" s="1"/>
  <c r="T393" i="269"/>
  <c r="T392" i="269"/>
  <c r="U392" i="269" s="1"/>
  <c r="N392" i="269"/>
  <c r="L2956" i="270" l="1"/>
  <c r="M241" i="269"/>
  <c r="L3041" i="270"/>
  <c r="L3040" i="270"/>
  <c r="L3043" i="270"/>
  <c r="L4083" i="270"/>
  <c r="L4079" i="270"/>
  <c r="L3034" i="270" l="1"/>
  <c r="L3019" i="270"/>
  <c r="L3037" i="270"/>
  <c r="L2848" i="270"/>
  <c r="L2849" i="270"/>
  <c r="L2845" i="270"/>
  <c r="L2844" i="270"/>
  <c r="L2842" i="270"/>
  <c r="L2840" i="270"/>
  <c r="L3100" i="270"/>
  <c r="L3099" i="270"/>
  <c r="L3098" i="270"/>
  <c r="L2941" i="270"/>
  <c r="L2940" i="270"/>
  <c r="L2939" i="270"/>
  <c r="L2938" i="270"/>
  <c r="L2937" i="270"/>
  <c r="L2936" i="270"/>
  <c r="L2909" i="270"/>
  <c r="L2908" i="270"/>
  <c r="L2905" i="270"/>
  <c r="L2886" i="270"/>
  <c r="L2883" i="270"/>
  <c r="L2882" i="270"/>
  <c r="L2881" i="270"/>
  <c r="L2880" i="270"/>
  <c r="L2996" i="270"/>
  <c r="L2995" i="270"/>
  <c r="S123" i="269"/>
  <c r="S126" i="269"/>
  <c r="S125" i="269"/>
  <c r="S124" i="269"/>
  <c r="S122" i="269"/>
  <c r="M122" i="269" s="1"/>
  <c r="S105" i="269"/>
  <c r="S479" i="269"/>
  <c r="M459" i="269"/>
  <c r="L925" i="270"/>
  <c r="L1040" i="270"/>
  <c r="L1127" i="270"/>
  <c r="L1016" i="270"/>
  <c r="F1558" i="270"/>
  <c r="L3782" i="270"/>
  <c r="L3755" i="270"/>
  <c r="I4195" i="270"/>
  <c r="S672" i="269"/>
  <c r="N672" i="269" s="1"/>
  <c r="L5004" i="270"/>
  <c r="L5003" i="270"/>
  <c r="C2757" i="270"/>
  <c r="L2757" i="270" s="1"/>
  <c r="L3875" i="270"/>
  <c r="F3874" i="270"/>
  <c r="L3874" i="270" s="1"/>
  <c r="K329" i="269"/>
  <c r="S679" i="269" l="1"/>
  <c r="N679" i="269" s="1"/>
  <c r="P679" i="269" s="1"/>
  <c r="Q679" i="269" s="1"/>
  <c r="T679" i="269"/>
  <c r="K679" i="269"/>
  <c r="U329" i="269" l="1"/>
  <c r="N329" i="269"/>
  <c r="P329" i="269" s="1"/>
  <c r="U679" i="269"/>
  <c r="Q329" i="269" l="1"/>
  <c r="P332" i="269"/>
  <c r="K672" i="269"/>
  <c r="T672" i="269"/>
  <c r="U672" i="269" s="1"/>
  <c r="T671" i="269"/>
  <c r="P672" i="269"/>
  <c r="Q672" i="269" l="1"/>
  <c r="S104" i="269"/>
  <c r="L1066" i="270"/>
  <c r="S108" i="269"/>
  <c r="K339" i="269"/>
  <c r="K341" i="269" s="1"/>
  <c r="U339" i="269"/>
  <c r="U341" i="269" s="1"/>
  <c r="S583" i="269"/>
  <c r="S228" i="269"/>
  <c r="K361" i="269"/>
  <c r="O705" i="269"/>
  <c r="Q705" i="269" s="1"/>
  <c r="K705" i="269"/>
  <c r="F5061" i="270"/>
  <c r="L5293" i="270"/>
  <c r="L5292" i="270"/>
  <c r="L5291" i="270"/>
  <c r="L5290" i="270"/>
  <c r="L5289" i="270"/>
  <c r="D5286" i="270"/>
  <c r="L2712" i="270"/>
  <c r="L2711" i="270"/>
  <c r="L2710" i="270"/>
  <c r="L2709" i="270"/>
  <c r="D2706" i="270"/>
  <c r="C2706" i="270"/>
  <c r="L5286" i="270" l="1"/>
  <c r="L2706" i="270"/>
  <c r="I704" i="269" l="1"/>
  <c r="L1300" i="270"/>
  <c r="L1299" i="270"/>
  <c r="F453" i="270"/>
  <c r="L453" i="270" s="1"/>
  <c r="C2402" i="270"/>
  <c r="L2402" i="270" s="1"/>
  <c r="L2401" i="270"/>
  <c r="L2400" i="270"/>
  <c r="S512" i="269"/>
  <c r="M512" i="269" s="1"/>
  <c r="O512" i="269" s="1"/>
  <c r="C4999" i="270"/>
  <c r="L4999" i="270" s="1"/>
  <c r="L4319" i="270"/>
  <c r="L4318" i="270"/>
  <c r="C349" i="269"/>
  <c r="C350" i="269" s="1"/>
  <c r="C351" i="269" s="1"/>
  <c r="C352" i="269" s="1"/>
  <c r="C353" i="269" s="1"/>
  <c r="C354" i="269" s="1"/>
  <c r="U354" i="269"/>
  <c r="U353" i="269"/>
  <c r="T700" i="269"/>
  <c r="U700" i="269" s="1"/>
  <c r="K351" i="269"/>
  <c r="K350" i="269"/>
  <c r="U349" i="269"/>
  <c r="C576" i="269"/>
  <c r="C577" i="269" s="1"/>
  <c r="C578" i="269" s="1"/>
  <c r="T699" i="269"/>
  <c r="K698" i="269"/>
  <c r="L2558" i="270"/>
  <c r="L2555" i="270" s="1"/>
  <c r="S294" i="269" s="1"/>
  <c r="M294" i="269" s="1"/>
  <c r="O294" i="269" s="1"/>
  <c r="T703" i="269"/>
  <c r="P703" i="269"/>
  <c r="P747" i="269" s="1"/>
  <c r="S697" i="269"/>
  <c r="N697" i="269" s="1"/>
  <c r="P697" i="269" s="1"/>
  <c r="Q697" i="269" s="1"/>
  <c r="I685" i="269"/>
  <c r="M685" i="269" s="1"/>
  <c r="O685" i="269" s="1"/>
  <c r="T685" i="269"/>
  <c r="T684" i="269"/>
  <c r="T678" i="269"/>
  <c r="T670" i="269"/>
  <c r="U670" i="269" s="1"/>
  <c r="P670" i="269"/>
  <c r="P671" i="269"/>
  <c r="U671" i="269"/>
  <c r="J669" i="269"/>
  <c r="T669" i="269" s="1"/>
  <c r="U669" i="269" s="1"/>
  <c r="L3769" i="270"/>
  <c r="L3768" i="270"/>
  <c r="K699" i="269"/>
  <c r="T698" i="269"/>
  <c r="O321" i="269"/>
  <c r="P321" i="269"/>
  <c r="U321" i="269"/>
  <c r="U334" i="269"/>
  <c r="U328" i="269"/>
  <c r="U332" i="269" s="1"/>
  <c r="O328" i="269"/>
  <c r="O332" i="269" s="1"/>
  <c r="P326" i="269"/>
  <c r="P320" i="269"/>
  <c r="O320" i="269"/>
  <c r="L609" i="270"/>
  <c r="L610" i="270"/>
  <c r="L581" i="270"/>
  <c r="L517" i="270"/>
  <c r="L509" i="270"/>
  <c r="L508" i="270"/>
  <c r="T22" i="269"/>
  <c r="U22" i="269" s="1"/>
  <c r="T21" i="269"/>
  <c r="L382" i="270"/>
  <c r="L383" i="270"/>
  <c r="L384" i="270"/>
  <c r="L385" i="270"/>
  <c r="L386" i="270"/>
  <c r="C754" i="270"/>
  <c r="L754" i="270" s="1"/>
  <c r="L5051" i="270"/>
  <c r="L2807" i="270"/>
  <c r="I460" i="269"/>
  <c r="K460" i="269" s="1"/>
  <c r="J675" i="269"/>
  <c r="J686" i="269" s="1"/>
  <c r="T686" i="269" s="1"/>
  <c r="K671" i="269"/>
  <c r="K670" i="269"/>
  <c r="K334" i="269"/>
  <c r="K328" i="269"/>
  <c r="K332" i="269" s="1"/>
  <c r="I335" i="269"/>
  <c r="J325" i="269"/>
  <c r="T325" i="269" s="1"/>
  <c r="K321" i="269"/>
  <c r="I320" i="269"/>
  <c r="U319" i="269"/>
  <c r="K319" i="269"/>
  <c r="O319" i="269"/>
  <c r="O323" i="269" s="1"/>
  <c r="P319" i="269"/>
  <c r="N669" i="269"/>
  <c r="J3726" i="270"/>
  <c r="L3726" i="270" s="1"/>
  <c r="L1014" i="270"/>
  <c r="L1101" i="270"/>
  <c r="L3565" i="270"/>
  <c r="L3564" i="270"/>
  <c r="L3590" i="270"/>
  <c r="L1766" i="270"/>
  <c r="L837" i="270"/>
  <c r="L836" i="270"/>
  <c r="L3491" i="270"/>
  <c r="L3490" i="270"/>
  <c r="L679" i="270"/>
  <c r="L680" i="270"/>
  <c r="L760" i="270"/>
  <c r="L759" i="270"/>
  <c r="L3389" i="270"/>
  <c r="L3390" i="270"/>
  <c r="L407" i="270"/>
  <c r="L580" i="270"/>
  <c r="L3226" i="270"/>
  <c r="L3228" i="270"/>
  <c r="L3227" i="270"/>
  <c r="D406" i="270"/>
  <c r="L406" i="270" s="1"/>
  <c r="E405" i="270"/>
  <c r="D405" i="270"/>
  <c r="D403" i="270"/>
  <c r="L403" i="270" s="1"/>
  <c r="E402" i="270"/>
  <c r="D402" i="270"/>
  <c r="E400" i="270"/>
  <c r="D400" i="270"/>
  <c r="E398" i="270"/>
  <c r="L398" i="270" s="1"/>
  <c r="D3033" i="270"/>
  <c r="L3033" i="270" s="1"/>
  <c r="E3032" i="270"/>
  <c r="D3032" i="270"/>
  <c r="D3030" i="270"/>
  <c r="L3030" i="270" s="1"/>
  <c r="E3029" i="270"/>
  <c r="D3029" i="270"/>
  <c r="E3027" i="270"/>
  <c r="D3027" i="270"/>
  <c r="E3025" i="270"/>
  <c r="L3025" i="270" s="1"/>
  <c r="L3378" i="270"/>
  <c r="L3377" i="270"/>
  <c r="L3367" i="270"/>
  <c r="L3366" i="270"/>
  <c r="L3365" i="270"/>
  <c r="L3364" i="270"/>
  <c r="L3354" i="270"/>
  <c r="L3353" i="270"/>
  <c r="L3352" i="270"/>
  <c r="L3351" i="270"/>
  <c r="L3341" i="270"/>
  <c r="L3340" i="270"/>
  <c r="L3339" i="270"/>
  <c r="L3338" i="270"/>
  <c r="L3323" i="270"/>
  <c r="L3322" i="270"/>
  <c r="L3314" i="270"/>
  <c r="L3313" i="270"/>
  <c r="F3400" i="270"/>
  <c r="L3400" i="270" s="1"/>
  <c r="G452" i="270"/>
  <c r="L452" i="270" s="1"/>
  <c r="G451" i="270"/>
  <c r="L451" i="270" s="1"/>
  <c r="L2184" i="270"/>
  <c r="L1904" i="270"/>
  <c r="L1856" i="270"/>
  <c r="L1855" i="270"/>
  <c r="L1854" i="270"/>
  <c r="L1686" i="270"/>
  <c r="L1251" i="270"/>
  <c r="L1250" i="270"/>
  <c r="L1249" i="270"/>
  <c r="L1165" i="270"/>
  <c r="L1164" i="270"/>
  <c r="L1163" i="270"/>
  <c r="L1162" i="270"/>
  <c r="L1114" i="270"/>
  <c r="L985" i="270"/>
  <c r="L830" i="270"/>
  <c r="L831" i="270"/>
  <c r="L832" i="270"/>
  <c r="C755" i="270"/>
  <c r="L755" i="270" s="1"/>
  <c r="L752" i="270"/>
  <c r="L756" i="270"/>
  <c r="L753" i="270"/>
  <c r="L748" i="270"/>
  <c r="L747" i="270"/>
  <c r="L746" i="270"/>
  <c r="L717" i="270"/>
  <c r="L701" i="270"/>
  <c r="L700" i="270"/>
  <c r="L699" i="270"/>
  <c r="L691" i="270"/>
  <c r="L690" i="270"/>
  <c r="F674" i="270"/>
  <c r="L674" i="270" s="1"/>
  <c r="L676" i="270"/>
  <c r="L613" i="270"/>
  <c r="L612" i="270"/>
  <c r="L575" i="270"/>
  <c r="L572" i="270"/>
  <c r="C574" i="270"/>
  <c r="L574" i="270" s="1"/>
  <c r="C573" i="270"/>
  <c r="L573" i="270" s="1"/>
  <c r="L379" i="270"/>
  <c r="L380" i="270"/>
  <c r="L381" i="270"/>
  <c r="E392" i="270"/>
  <c r="D392" i="270"/>
  <c r="C391" i="270"/>
  <c r="L391" i="270" s="1"/>
  <c r="L110" i="270"/>
  <c r="L109" i="270"/>
  <c r="L94" i="270"/>
  <c r="L93" i="270"/>
  <c r="L92" i="270"/>
  <c r="C51" i="270"/>
  <c r="L64" i="270"/>
  <c r="L4314" i="270"/>
  <c r="L4312" i="270"/>
  <c r="L4261" i="270"/>
  <c r="L4258" i="270"/>
  <c r="L4195" i="270"/>
  <c r="I4199" i="270"/>
  <c r="L4199" i="270" s="1"/>
  <c r="I4084" i="270"/>
  <c r="L4084" i="270" s="1"/>
  <c r="L4103" i="270"/>
  <c r="I4133" i="270"/>
  <c r="L4133" i="270" s="1"/>
  <c r="I4152" i="270"/>
  <c r="L4152" i="270" s="1"/>
  <c r="I4170" i="270"/>
  <c r="L4170" i="270" s="1"/>
  <c r="L3836" i="270"/>
  <c r="L3837" i="270"/>
  <c r="L3825" i="270"/>
  <c r="L3824" i="270"/>
  <c r="L3794" i="270"/>
  <c r="L3793" i="270"/>
  <c r="L3780" i="270"/>
  <c r="L3779" i="270"/>
  <c r="L13" i="270"/>
  <c r="L3118" i="270"/>
  <c r="L3120" i="270"/>
  <c r="L3119" i="270"/>
  <c r="L3113" i="270"/>
  <c r="L3107" i="270"/>
  <c r="L3073" i="270"/>
  <c r="L3070" i="270" s="1"/>
  <c r="L2806" i="270"/>
  <c r="L2745" i="270"/>
  <c r="L2742" i="270" s="1"/>
  <c r="L1763" i="270"/>
  <c r="L1769" i="270"/>
  <c r="L1724" i="270"/>
  <c r="L1693" i="270"/>
  <c r="L1692" i="270"/>
  <c r="L1697" i="270"/>
  <c r="L1699" i="270"/>
  <c r="L1698" i="270"/>
  <c r="L1689" i="270"/>
  <c r="L1687" i="270"/>
  <c r="L1663" i="270"/>
  <c r="L1558" i="270"/>
  <c r="L1555" i="270" s="1"/>
  <c r="L1648" i="270"/>
  <c r="C1649" i="270"/>
  <c r="L1649" i="270" s="1"/>
  <c r="F1538" i="270"/>
  <c r="L1538" i="270" s="1"/>
  <c r="L1517" i="270"/>
  <c r="L1524" i="270"/>
  <c r="I1527" i="270"/>
  <c r="L1527" i="270" s="1"/>
  <c r="F1505" i="270"/>
  <c r="L1505" i="270" s="1"/>
  <c r="L1501" i="270" s="1"/>
  <c r="S87" i="269" s="1"/>
  <c r="F1463" i="270"/>
  <c r="L1463" i="270" s="1"/>
  <c r="I1494" i="270"/>
  <c r="L1494" i="270" s="1"/>
  <c r="L1491" i="270"/>
  <c r="I1476" i="270"/>
  <c r="L1476" i="270" s="1"/>
  <c r="I1472" i="270"/>
  <c r="L1472" i="270" s="1"/>
  <c r="I1435" i="270"/>
  <c r="I1454" i="270"/>
  <c r="I1433" i="270"/>
  <c r="L1415" i="270"/>
  <c r="I1417" i="270"/>
  <c r="L1417" i="270" s="1"/>
  <c r="I1416" i="270"/>
  <c r="L1416" i="270" s="1"/>
  <c r="F1412" i="270"/>
  <c r="L1412" i="270" s="1"/>
  <c r="I1403" i="270"/>
  <c r="L1403" i="270" s="1"/>
  <c r="L1402" i="270"/>
  <c r="I1399" i="270"/>
  <c r="L1399" i="270" s="1"/>
  <c r="I1398" i="270"/>
  <c r="L1398" i="270" s="1"/>
  <c r="L1176" i="270"/>
  <c r="L1175" i="270"/>
  <c r="L1160" i="270"/>
  <c r="L1149" i="270"/>
  <c r="L1148" i="270"/>
  <c r="L1075" i="270"/>
  <c r="L1074" i="270"/>
  <c r="L1087" i="270"/>
  <c r="L1086" i="270"/>
  <c r="L1061" i="270"/>
  <c r="L1064" i="270"/>
  <c r="L1063" i="270"/>
  <c r="L1062" i="270"/>
  <c r="L1098" i="270"/>
  <c r="L1099" i="270"/>
  <c r="L1052" i="270"/>
  <c r="L1051" i="270"/>
  <c r="L1050" i="270"/>
  <c r="L1049" i="270"/>
  <c r="L1038" i="270"/>
  <c r="L1037" i="270"/>
  <c r="L1036" i="270"/>
  <c r="L1026" i="270"/>
  <c r="L1025" i="270"/>
  <c r="L1024" i="270"/>
  <c r="L1010" i="270"/>
  <c r="L952" i="270"/>
  <c r="L972" i="270"/>
  <c r="L942" i="270"/>
  <c r="L566" i="270"/>
  <c r="L565" i="270"/>
  <c r="L564" i="270"/>
  <c r="L535" i="270"/>
  <c r="L519" i="270"/>
  <c r="L518" i="270"/>
  <c r="L334" i="270"/>
  <c r="L336" i="270"/>
  <c r="E338" i="270"/>
  <c r="D337" i="270"/>
  <c r="C337" i="270"/>
  <c r="C336" i="270"/>
  <c r="N22" i="269"/>
  <c r="P22" i="269" s="1"/>
  <c r="L14" i="270"/>
  <c r="L4183" i="270"/>
  <c r="L4179" i="270" s="1"/>
  <c r="S440" i="269" s="1"/>
  <c r="L3487" i="270"/>
  <c r="L3486" i="270"/>
  <c r="L3485" i="270"/>
  <c r="L3483" i="270"/>
  <c r="L3482" i="270"/>
  <c r="L3481" i="270"/>
  <c r="F3480" i="270"/>
  <c r="L3480" i="270" s="1"/>
  <c r="L3479" i="270"/>
  <c r="L3478" i="270"/>
  <c r="L3477" i="270"/>
  <c r="L3476" i="270"/>
  <c r="L3475" i="270"/>
  <c r="I3474" i="270"/>
  <c r="L3474" i="270" s="1"/>
  <c r="L3473" i="270"/>
  <c r="L3472" i="270"/>
  <c r="L3471" i="270"/>
  <c r="L3468" i="270"/>
  <c r="F3467" i="270"/>
  <c r="L3467" i="270" s="1"/>
  <c r="F3466" i="270"/>
  <c r="L3466" i="270" s="1"/>
  <c r="F3465" i="270"/>
  <c r="L3465" i="270" s="1"/>
  <c r="F3464" i="270"/>
  <c r="L3464" i="270" s="1"/>
  <c r="L3463" i="270"/>
  <c r="L3462" i="270"/>
  <c r="L3461" i="270"/>
  <c r="L3460" i="270"/>
  <c r="L3459" i="270"/>
  <c r="L3458" i="270"/>
  <c r="L3457" i="270"/>
  <c r="L3456" i="270"/>
  <c r="L3453" i="270"/>
  <c r="F3452" i="270"/>
  <c r="L3452" i="270" s="1"/>
  <c r="F3451" i="270"/>
  <c r="L3451" i="270" s="1"/>
  <c r="F3450" i="270"/>
  <c r="L3450" i="270" s="1"/>
  <c r="F3449" i="270"/>
  <c r="L3449" i="270" s="1"/>
  <c r="L3448" i="270"/>
  <c r="L3447" i="270"/>
  <c r="L3446" i="270"/>
  <c r="L3445" i="270"/>
  <c r="L3444" i="270"/>
  <c r="L3443" i="270"/>
  <c r="L3442" i="270"/>
  <c r="L3439" i="270"/>
  <c r="F3438" i="270"/>
  <c r="L3438" i="270" s="1"/>
  <c r="F3437" i="270"/>
  <c r="L3437" i="270" s="1"/>
  <c r="F3436" i="270"/>
  <c r="L3436" i="270" s="1"/>
  <c r="F3435" i="270"/>
  <c r="L3435" i="270" s="1"/>
  <c r="L3434" i="270"/>
  <c r="L3433" i="270"/>
  <c r="L3432" i="270"/>
  <c r="L3431" i="270"/>
  <c r="L3430" i="270"/>
  <c r="L3429" i="270"/>
  <c r="L3428" i="270"/>
  <c r="L3427" i="270"/>
  <c r="F3425" i="270"/>
  <c r="L3425" i="270" s="1"/>
  <c r="L3424" i="270"/>
  <c r="L3423" i="270"/>
  <c r="F3422" i="270"/>
  <c r="L3422" i="270" s="1"/>
  <c r="L3421" i="270"/>
  <c r="F3420" i="270"/>
  <c r="L3420" i="270" s="1"/>
  <c r="L3419" i="270"/>
  <c r="F3418" i="270"/>
  <c r="L3418" i="270" s="1"/>
  <c r="L3417" i="270"/>
  <c r="L3416" i="270"/>
  <c r="L3415" i="270"/>
  <c r="L3414" i="270"/>
  <c r="L3413" i="270"/>
  <c r="L3410" i="270"/>
  <c r="F3409" i="270"/>
  <c r="L3409" i="270" s="1"/>
  <c r="F3408" i="270"/>
  <c r="L3408" i="270" s="1"/>
  <c r="F3407" i="270"/>
  <c r="L3407" i="270" s="1"/>
  <c r="L3403" i="270"/>
  <c r="F3402" i="270"/>
  <c r="L3402" i="270" s="1"/>
  <c r="L3401" i="270"/>
  <c r="L2644" i="270"/>
  <c r="L2604" i="270"/>
  <c r="I2603" i="270"/>
  <c r="L2603" i="270" s="1"/>
  <c r="L2602" i="270"/>
  <c r="L2253" i="270"/>
  <c r="L2254" i="270"/>
  <c r="L2255" i="270"/>
  <c r="L2171" i="270"/>
  <c r="L2170" i="270"/>
  <c r="L2169" i="270"/>
  <c r="L2065" i="270"/>
  <c r="L2066" i="270"/>
  <c r="L2067" i="270"/>
  <c r="L2068" i="270"/>
  <c r="L2069" i="270"/>
  <c r="L2070" i="270"/>
  <c r="L2071" i="270"/>
  <c r="L2072" i="270"/>
  <c r="C2073" i="270"/>
  <c r="L2073" i="270" s="1"/>
  <c r="L2076" i="270"/>
  <c r="L2077" i="270"/>
  <c r="L2078" i="270"/>
  <c r="L2081" i="270"/>
  <c r="L2082" i="270"/>
  <c r="L2083" i="270"/>
  <c r="L2087" i="270"/>
  <c r="L2088" i="270"/>
  <c r="L2091" i="270"/>
  <c r="L2092" i="270"/>
  <c r="L2093" i="270"/>
  <c r="L2094" i="270"/>
  <c r="L2097" i="270"/>
  <c r="L2098" i="270"/>
  <c r="L2099" i="270"/>
  <c r="L2100" i="270"/>
  <c r="C2104" i="270"/>
  <c r="C2106" i="270"/>
  <c r="D2106" i="270" s="1"/>
  <c r="L2110" i="270"/>
  <c r="L2111" i="270"/>
  <c r="L2113" i="270"/>
  <c r="L2115" i="270"/>
  <c r="L2118" i="270"/>
  <c r="L2119" i="270"/>
  <c r="L2120" i="270"/>
  <c r="L1711" i="270"/>
  <c r="L1712" i="270"/>
  <c r="L1714" i="270"/>
  <c r="L1717" i="270"/>
  <c r="L1718" i="270"/>
  <c r="L1726" i="270"/>
  <c r="L1488" i="270"/>
  <c r="L1124" i="270"/>
  <c r="L1125" i="270"/>
  <c r="L997" i="270"/>
  <c r="L996" i="270"/>
  <c r="K234" i="269"/>
  <c r="K235" i="269"/>
  <c r="K236" i="269"/>
  <c r="K237" i="269"/>
  <c r="K238" i="269"/>
  <c r="K239" i="269"/>
  <c r="K240" i="269"/>
  <c r="K241" i="269"/>
  <c r="K242" i="269"/>
  <c r="K243" i="269"/>
  <c r="K244" i="269"/>
  <c r="K245" i="269"/>
  <c r="K246" i="269"/>
  <c r="K247" i="269"/>
  <c r="K248" i="269"/>
  <c r="K249" i="269"/>
  <c r="K250" i="269"/>
  <c r="K251" i="269"/>
  <c r="K252" i="269"/>
  <c r="K253" i="269"/>
  <c r="K254" i="269"/>
  <c r="K255" i="269"/>
  <c r="K256" i="269"/>
  <c r="K257" i="269"/>
  <c r="K258" i="269"/>
  <c r="K259" i="269"/>
  <c r="K260" i="269"/>
  <c r="K261" i="269"/>
  <c r="K262" i="269"/>
  <c r="K263" i="269"/>
  <c r="K264" i="269"/>
  <c r="K265" i="269"/>
  <c r="K266" i="269"/>
  <c r="K267" i="269"/>
  <c r="K268" i="269"/>
  <c r="K269" i="269"/>
  <c r="K270" i="269"/>
  <c r="M650" i="269"/>
  <c r="O650" i="269" s="1"/>
  <c r="N650" i="269"/>
  <c r="P650" i="269" s="1"/>
  <c r="M651" i="269"/>
  <c r="O651" i="269" s="1"/>
  <c r="N651" i="269"/>
  <c r="P651" i="269" s="1"/>
  <c r="M652" i="269"/>
  <c r="O652" i="269" s="1"/>
  <c r="N652" i="269"/>
  <c r="P652" i="269" s="1"/>
  <c r="M653" i="269"/>
  <c r="O653" i="269" s="1"/>
  <c r="N653" i="269"/>
  <c r="P653" i="269" s="1"/>
  <c r="M631" i="269"/>
  <c r="O631" i="269" s="1"/>
  <c r="N631" i="269"/>
  <c r="P631" i="269" s="1"/>
  <c r="N630" i="269"/>
  <c r="P630" i="269" s="1"/>
  <c r="M630" i="269"/>
  <c r="O630" i="269" s="1"/>
  <c r="T630" i="269"/>
  <c r="U630" i="269" s="1"/>
  <c r="M627" i="269"/>
  <c r="O627" i="269" s="1"/>
  <c r="N627" i="269"/>
  <c r="P627" i="269" s="1"/>
  <c r="N626" i="269"/>
  <c r="P626" i="269" s="1"/>
  <c r="M626" i="269"/>
  <c r="O626" i="269" s="1"/>
  <c r="M567" i="269"/>
  <c r="O567" i="269" s="1"/>
  <c r="N567" i="269"/>
  <c r="P567" i="269" s="1"/>
  <c r="M568" i="269"/>
  <c r="O568" i="269" s="1"/>
  <c r="N568" i="269"/>
  <c r="P568" i="269" s="1"/>
  <c r="M569" i="269"/>
  <c r="O569" i="269" s="1"/>
  <c r="N569" i="269"/>
  <c r="P569" i="269" s="1"/>
  <c r="M570" i="269"/>
  <c r="O570" i="269" s="1"/>
  <c r="N570" i="269"/>
  <c r="P570" i="269" s="1"/>
  <c r="M571" i="269"/>
  <c r="O571" i="269" s="1"/>
  <c r="N571" i="269"/>
  <c r="P571" i="269" s="1"/>
  <c r="M572" i="269"/>
  <c r="O572" i="269" s="1"/>
  <c r="N572" i="269"/>
  <c r="P572" i="269" s="1"/>
  <c r="M573" i="269"/>
  <c r="O573" i="269" s="1"/>
  <c r="N573" i="269"/>
  <c r="P573" i="269" s="1"/>
  <c r="M574" i="269"/>
  <c r="O574" i="269" s="1"/>
  <c r="N574" i="269"/>
  <c r="P574" i="269" s="1"/>
  <c r="M575" i="269"/>
  <c r="O575" i="269" s="1"/>
  <c r="N575" i="269"/>
  <c r="P575" i="269" s="1"/>
  <c r="M576" i="269"/>
  <c r="O576" i="269" s="1"/>
  <c r="N576" i="269"/>
  <c r="P576" i="269" s="1"/>
  <c r="M577" i="269"/>
  <c r="O577" i="269" s="1"/>
  <c r="N577" i="269"/>
  <c r="P577" i="269" s="1"/>
  <c r="M578" i="269"/>
  <c r="O578" i="269" s="1"/>
  <c r="N578" i="269"/>
  <c r="P578" i="269" s="1"/>
  <c r="M579" i="269"/>
  <c r="O579" i="269" s="1"/>
  <c r="N579" i="269"/>
  <c r="P579" i="269" s="1"/>
  <c r="M580" i="269"/>
  <c r="O580" i="269" s="1"/>
  <c r="N580" i="269"/>
  <c r="P580" i="269" s="1"/>
  <c r="M581" i="269"/>
  <c r="O581" i="269" s="1"/>
  <c r="N581" i="269"/>
  <c r="P581" i="269" s="1"/>
  <c r="M582" i="269"/>
  <c r="O582" i="269" s="1"/>
  <c r="N582" i="269"/>
  <c r="P582" i="269" s="1"/>
  <c r="M583" i="269"/>
  <c r="O583" i="269" s="1"/>
  <c r="N583" i="269"/>
  <c r="P583" i="269" s="1"/>
  <c r="M584" i="269"/>
  <c r="O584" i="269" s="1"/>
  <c r="N584" i="269"/>
  <c r="P584" i="269" s="1"/>
  <c r="M585" i="269"/>
  <c r="O585" i="269" s="1"/>
  <c r="N585" i="269"/>
  <c r="P585" i="269" s="1"/>
  <c r="M586" i="269"/>
  <c r="O586" i="269" s="1"/>
  <c r="N586" i="269"/>
  <c r="P586" i="269" s="1"/>
  <c r="M587" i="269"/>
  <c r="O587" i="269" s="1"/>
  <c r="N587" i="269"/>
  <c r="P587" i="269" s="1"/>
  <c r="M588" i="269"/>
  <c r="O588" i="269" s="1"/>
  <c r="N588" i="269"/>
  <c r="P588" i="269" s="1"/>
  <c r="M589" i="269"/>
  <c r="O589" i="269" s="1"/>
  <c r="N589" i="269"/>
  <c r="P589" i="269" s="1"/>
  <c r="M590" i="269"/>
  <c r="O590" i="269" s="1"/>
  <c r="N590" i="269"/>
  <c r="P590" i="269" s="1"/>
  <c r="M591" i="269"/>
  <c r="O591" i="269" s="1"/>
  <c r="N591" i="269"/>
  <c r="P591" i="269" s="1"/>
  <c r="M592" i="269"/>
  <c r="O592" i="269" s="1"/>
  <c r="N592" i="269"/>
  <c r="P592" i="269" s="1"/>
  <c r="M593" i="269"/>
  <c r="O593" i="269" s="1"/>
  <c r="N593" i="269"/>
  <c r="P593" i="269" s="1"/>
  <c r="M594" i="269"/>
  <c r="O594" i="269" s="1"/>
  <c r="N594" i="269"/>
  <c r="P594" i="269" s="1"/>
  <c r="M595" i="269"/>
  <c r="O595" i="269" s="1"/>
  <c r="N595" i="269"/>
  <c r="P595" i="269" s="1"/>
  <c r="M596" i="269"/>
  <c r="O596" i="269" s="1"/>
  <c r="N596" i="269"/>
  <c r="P596" i="269" s="1"/>
  <c r="M597" i="269"/>
  <c r="O597" i="269" s="1"/>
  <c r="N597" i="269"/>
  <c r="P597" i="269" s="1"/>
  <c r="M598" i="269"/>
  <c r="O598" i="269" s="1"/>
  <c r="N598" i="269"/>
  <c r="P598" i="269" s="1"/>
  <c r="M599" i="269"/>
  <c r="O599" i="269" s="1"/>
  <c r="N599" i="269"/>
  <c r="P599" i="269" s="1"/>
  <c r="M600" i="269"/>
  <c r="O600" i="269" s="1"/>
  <c r="N600" i="269"/>
  <c r="P600" i="269" s="1"/>
  <c r="M601" i="269"/>
  <c r="O601" i="269" s="1"/>
  <c r="N601" i="269"/>
  <c r="P601" i="269" s="1"/>
  <c r="M602" i="269"/>
  <c r="O602" i="269" s="1"/>
  <c r="N602" i="269"/>
  <c r="P602" i="269" s="1"/>
  <c r="M603" i="269"/>
  <c r="O603" i="269" s="1"/>
  <c r="N603" i="269"/>
  <c r="P603" i="269" s="1"/>
  <c r="M604" i="269"/>
  <c r="O604" i="269" s="1"/>
  <c r="N604" i="269"/>
  <c r="P604" i="269" s="1"/>
  <c r="M605" i="269"/>
  <c r="O605" i="269" s="1"/>
  <c r="N605" i="269"/>
  <c r="P605" i="269" s="1"/>
  <c r="M606" i="269"/>
  <c r="O606" i="269" s="1"/>
  <c r="N606" i="269"/>
  <c r="P606" i="269" s="1"/>
  <c r="M607" i="269"/>
  <c r="O607" i="269" s="1"/>
  <c r="N607" i="269"/>
  <c r="P607" i="269" s="1"/>
  <c r="M608" i="269"/>
  <c r="O608" i="269" s="1"/>
  <c r="N608" i="269"/>
  <c r="P608" i="269" s="1"/>
  <c r="M609" i="269"/>
  <c r="O609" i="269" s="1"/>
  <c r="N609" i="269"/>
  <c r="P609" i="269" s="1"/>
  <c r="M610" i="269"/>
  <c r="O610" i="269" s="1"/>
  <c r="N610" i="269"/>
  <c r="P610" i="269" s="1"/>
  <c r="M611" i="269"/>
  <c r="O611" i="269" s="1"/>
  <c r="N611" i="269"/>
  <c r="P611" i="269" s="1"/>
  <c r="M612" i="269"/>
  <c r="O612" i="269" s="1"/>
  <c r="N612" i="269"/>
  <c r="P612" i="269" s="1"/>
  <c r="M613" i="269"/>
  <c r="O613" i="269" s="1"/>
  <c r="N613" i="269"/>
  <c r="P613" i="269" s="1"/>
  <c r="M614" i="269"/>
  <c r="O614" i="269" s="1"/>
  <c r="N614" i="269"/>
  <c r="P614" i="269" s="1"/>
  <c r="M615" i="269"/>
  <c r="O615" i="269" s="1"/>
  <c r="N615" i="269"/>
  <c r="P615" i="269" s="1"/>
  <c r="M616" i="269"/>
  <c r="O616" i="269" s="1"/>
  <c r="N616" i="269"/>
  <c r="P616" i="269" s="1"/>
  <c r="M617" i="269"/>
  <c r="O617" i="269" s="1"/>
  <c r="N617" i="269"/>
  <c r="P617" i="269" s="1"/>
  <c r="M618" i="269"/>
  <c r="O618" i="269" s="1"/>
  <c r="N618" i="269"/>
  <c r="P618" i="269" s="1"/>
  <c r="M619" i="269"/>
  <c r="O619" i="269" s="1"/>
  <c r="N619" i="269"/>
  <c r="P619" i="269" s="1"/>
  <c r="M620" i="269"/>
  <c r="O620" i="269" s="1"/>
  <c r="N620" i="269"/>
  <c r="P620" i="269" s="1"/>
  <c r="M621" i="269"/>
  <c r="O621" i="269" s="1"/>
  <c r="N621" i="269"/>
  <c r="P621" i="269" s="1"/>
  <c r="M622" i="269"/>
  <c r="O622" i="269" s="1"/>
  <c r="N622" i="269"/>
  <c r="P622" i="269" s="1"/>
  <c r="M623" i="269"/>
  <c r="O623" i="269" s="1"/>
  <c r="N623" i="269"/>
  <c r="P623" i="269" s="1"/>
  <c r="N566" i="269"/>
  <c r="P566" i="269" s="1"/>
  <c r="M566" i="269"/>
  <c r="O566" i="269" s="1"/>
  <c r="M537" i="269"/>
  <c r="O537" i="269" s="1"/>
  <c r="N537" i="269"/>
  <c r="P537" i="269" s="1"/>
  <c r="M455" i="269"/>
  <c r="O455" i="269" s="1"/>
  <c r="N455" i="269"/>
  <c r="P455" i="269" s="1"/>
  <c r="M456" i="269"/>
  <c r="O456" i="269" s="1"/>
  <c r="N456" i="269"/>
  <c r="P456" i="269" s="1"/>
  <c r="M457" i="269"/>
  <c r="O457" i="269" s="1"/>
  <c r="N457" i="269"/>
  <c r="P457" i="269" s="1"/>
  <c r="M458" i="269"/>
  <c r="O458" i="269" s="1"/>
  <c r="N458" i="269"/>
  <c r="P458" i="269" s="1"/>
  <c r="O459" i="269"/>
  <c r="N459" i="269"/>
  <c r="P459" i="269" s="1"/>
  <c r="M461" i="269"/>
  <c r="O461" i="269" s="1"/>
  <c r="N461" i="269"/>
  <c r="P461" i="269" s="1"/>
  <c r="M462" i="269"/>
  <c r="O462" i="269" s="1"/>
  <c r="N462" i="269"/>
  <c r="P462" i="269" s="1"/>
  <c r="M463" i="269"/>
  <c r="O463" i="269" s="1"/>
  <c r="N463" i="269"/>
  <c r="P463" i="269" s="1"/>
  <c r="M464" i="269"/>
  <c r="O464" i="269" s="1"/>
  <c r="N464" i="269"/>
  <c r="P464" i="269" s="1"/>
  <c r="M465" i="269"/>
  <c r="O465" i="269" s="1"/>
  <c r="N465" i="269"/>
  <c r="P465" i="269" s="1"/>
  <c r="M466" i="269"/>
  <c r="O466" i="269" s="1"/>
  <c r="N466" i="269"/>
  <c r="P466" i="269" s="1"/>
  <c r="M467" i="269"/>
  <c r="O467" i="269" s="1"/>
  <c r="N467" i="269"/>
  <c r="P467" i="269" s="1"/>
  <c r="M468" i="269"/>
  <c r="O468" i="269" s="1"/>
  <c r="N468" i="269"/>
  <c r="P468" i="269" s="1"/>
  <c r="M469" i="269"/>
  <c r="O469" i="269" s="1"/>
  <c r="N469" i="269"/>
  <c r="P469" i="269" s="1"/>
  <c r="M470" i="269"/>
  <c r="O470" i="269" s="1"/>
  <c r="N470" i="269"/>
  <c r="P470" i="269" s="1"/>
  <c r="M471" i="269"/>
  <c r="O471" i="269" s="1"/>
  <c r="N471" i="269"/>
  <c r="P471" i="269" s="1"/>
  <c r="M472" i="269"/>
  <c r="O472" i="269" s="1"/>
  <c r="N472" i="269"/>
  <c r="P472" i="269" s="1"/>
  <c r="M473" i="269"/>
  <c r="O473" i="269" s="1"/>
  <c r="N473" i="269"/>
  <c r="P473" i="269" s="1"/>
  <c r="M474" i="269"/>
  <c r="O474" i="269" s="1"/>
  <c r="N474" i="269"/>
  <c r="P474" i="269" s="1"/>
  <c r="M475" i="269"/>
  <c r="O475" i="269" s="1"/>
  <c r="N475" i="269"/>
  <c r="P475" i="269" s="1"/>
  <c r="M476" i="269"/>
  <c r="O476" i="269" s="1"/>
  <c r="N476" i="269"/>
  <c r="P476" i="269" s="1"/>
  <c r="M477" i="269"/>
  <c r="O477" i="269" s="1"/>
  <c r="N477" i="269"/>
  <c r="P477" i="269" s="1"/>
  <c r="M478" i="269"/>
  <c r="O478" i="269" s="1"/>
  <c r="N478" i="269"/>
  <c r="P478" i="269" s="1"/>
  <c r="M479" i="269"/>
  <c r="O479" i="269" s="1"/>
  <c r="N479" i="269"/>
  <c r="P479" i="269" s="1"/>
  <c r="M480" i="269"/>
  <c r="O480" i="269" s="1"/>
  <c r="N480" i="269"/>
  <c r="P480" i="269" s="1"/>
  <c r="M481" i="269"/>
  <c r="O481" i="269" s="1"/>
  <c r="N481" i="269"/>
  <c r="P481" i="269" s="1"/>
  <c r="M482" i="269"/>
  <c r="O482" i="269" s="1"/>
  <c r="N482" i="269"/>
  <c r="P482" i="269" s="1"/>
  <c r="M483" i="269"/>
  <c r="O483" i="269" s="1"/>
  <c r="N483" i="269"/>
  <c r="P483" i="269" s="1"/>
  <c r="M484" i="269"/>
  <c r="O484" i="269" s="1"/>
  <c r="N484" i="269"/>
  <c r="P484" i="269" s="1"/>
  <c r="M485" i="269"/>
  <c r="O485" i="269" s="1"/>
  <c r="N485" i="269"/>
  <c r="P485" i="269" s="1"/>
  <c r="M486" i="269"/>
  <c r="O486" i="269" s="1"/>
  <c r="N486" i="269"/>
  <c r="P486" i="269" s="1"/>
  <c r="M487" i="269"/>
  <c r="O487" i="269" s="1"/>
  <c r="N487" i="269"/>
  <c r="P487" i="269" s="1"/>
  <c r="M488" i="269"/>
  <c r="O488" i="269" s="1"/>
  <c r="N488" i="269"/>
  <c r="P488" i="269" s="1"/>
  <c r="M489" i="269"/>
  <c r="O489" i="269" s="1"/>
  <c r="N489" i="269"/>
  <c r="P489" i="269" s="1"/>
  <c r="M490" i="269"/>
  <c r="O490" i="269" s="1"/>
  <c r="N490" i="269"/>
  <c r="P490" i="269" s="1"/>
  <c r="M491" i="269"/>
  <c r="O491" i="269" s="1"/>
  <c r="N491" i="269"/>
  <c r="P491" i="269" s="1"/>
  <c r="M492" i="269"/>
  <c r="O492" i="269" s="1"/>
  <c r="N492" i="269"/>
  <c r="P492" i="269" s="1"/>
  <c r="M493" i="269"/>
  <c r="O493" i="269" s="1"/>
  <c r="N493" i="269"/>
  <c r="P493" i="269" s="1"/>
  <c r="M494" i="269"/>
  <c r="O494" i="269" s="1"/>
  <c r="N494" i="269"/>
  <c r="P494" i="269" s="1"/>
  <c r="M495" i="269"/>
  <c r="O495" i="269" s="1"/>
  <c r="N495" i="269"/>
  <c r="P495" i="269" s="1"/>
  <c r="M496" i="269"/>
  <c r="O496" i="269" s="1"/>
  <c r="N496" i="269"/>
  <c r="P496" i="269" s="1"/>
  <c r="M497" i="269"/>
  <c r="O497" i="269" s="1"/>
  <c r="N497" i="269"/>
  <c r="P497" i="269" s="1"/>
  <c r="M498" i="269"/>
  <c r="O498" i="269" s="1"/>
  <c r="N498" i="269"/>
  <c r="P498" i="269" s="1"/>
  <c r="M499" i="269"/>
  <c r="O499" i="269" s="1"/>
  <c r="N499" i="269"/>
  <c r="P499" i="269" s="1"/>
  <c r="M500" i="269"/>
  <c r="O500" i="269" s="1"/>
  <c r="N500" i="269"/>
  <c r="P500" i="269" s="1"/>
  <c r="M501" i="269"/>
  <c r="O501" i="269" s="1"/>
  <c r="N501" i="269"/>
  <c r="P501" i="269" s="1"/>
  <c r="M502" i="269"/>
  <c r="O502" i="269" s="1"/>
  <c r="N502" i="269"/>
  <c r="P502" i="269" s="1"/>
  <c r="M503" i="269"/>
  <c r="O503" i="269" s="1"/>
  <c r="N503" i="269"/>
  <c r="P503" i="269" s="1"/>
  <c r="M504" i="269"/>
  <c r="O504" i="269" s="1"/>
  <c r="N504" i="269"/>
  <c r="P504" i="269" s="1"/>
  <c r="M505" i="269"/>
  <c r="O505" i="269" s="1"/>
  <c r="N505" i="269"/>
  <c r="P505" i="269" s="1"/>
  <c r="M506" i="269"/>
  <c r="O506" i="269" s="1"/>
  <c r="N506" i="269"/>
  <c r="P506" i="269" s="1"/>
  <c r="M507" i="269"/>
  <c r="O507" i="269" s="1"/>
  <c r="N507" i="269"/>
  <c r="P507" i="269" s="1"/>
  <c r="M508" i="269"/>
  <c r="O508" i="269" s="1"/>
  <c r="N508" i="269"/>
  <c r="P508" i="269" s="1"/>
  <c r="M509" i="269"/>
  <c r="O509" i="269" s="1"/>
  <c r="N509" i="269"/>
  <c r="P509" i="269" s="1"/>
  <c r="M510" i="269"/>
  <c r="O510" i="269" s="1"/>
  <c r="N510" i="269"/>
  <c r="P510" i="269" s="1"/>
  <c r="M511" i="269"/>
  <c r="O511" i="269" s="1"/>
  <c r="N511" i="269"/>
  <c r="P511" i="269" s="1"/>
  <c r="M513" i="269"/>
  <c r="O513" i="269" s="1"/>
  <c r="P513" i="269"/>
  <c r="M514" i="269"/>
  <c r="O514" i="269" s="1"/>
  <c r="N514" i="269"/>
  <c r="P514" i="269" s="1"/>
  <c r="M515" i="269"/>
  <c r="O515" i="269" s="1"/>
  <c r="N515" i="269"/>
  <c r="P515" i="269" s="1"/>
  <c r="M516" i="269"/>
  <c r="O516" i="269" s="1"/>
  <c r="N516" i="269"/>
  <c r="P516" i="269" s="1"/>
  <c r="M517" i="269"/>
  <c r="O517" i="269" s="1"/>
  <c r="N517" i="269"/>
  <c r="P517" i="269" s="1"/>
  <c r="M518" i="269"/>
  <c r="O518" i="269" s="1"/>
  <c r="N518" i="269"/>
  <c r="P518" i="269" s="1"/>
  <c r="M519" i="269"/>
  <c r="O519" i="269" s="1"/>
  <c r="N519" i="269"/>
  <c r="P519" i="269" s="1"/>
  <c r="M520" i="269"/>
  <c r="O520" i="269" s="1"/>
  <c r="N520" i="269"/>
  <c r="P520" i="269" s="1"/>
  <c r="M521" i="269"/>
  <c r="O521" i="269" s="1"/>
  <c r="N521" i="269"/>
  <c r="P521" i="269" s="1"/>
  <c r="M522" i="269"/>
  <c r="O522" i="269" s="1"/>
  <c r="N522" i="269"/>
  <c r="P522" i="269" s="1"/>
  <c r="M523" i="269"/>
  <c r="O523" i="269" s="1"/>
  <c r="N523" i="269"/>
  <c r="P523" i="269" s="1"/>
  <c r="M524" i="269"/>
  <c r="O524" i="269" s="1"/>
  <c r="N524" i="269"/>
  <c r="P524" i="269" s="1"/>
  <c r="N454" i="269"/>
  <c r="P454" i="269" s="1"/>
  <c r="M454" i="269"/>
  <c r="O454" i="269" s="1"/>
  <c r="M392" i="269"/>
  <c r="O392" i="269" s="1"/>
  <c r="P392" i="269"/>
  <c r="M274" i="269"/>
  <c r="O274" i="269" s="1"/>
  <c r="N274" i="269"/>
  <c r="P274" i="269" s="1"/>
  <c r="N273" i="269"/>
  <c r="P273" i="269" s="1"/>
  <c r="M273" i="269"/>
  <c r="O273" i="269" s="1"/>
  <c r="M210" i="269"/>
  <c r="O210" i="269" s="1"/>
  <c r="N210" i="269"/>
  <c r="P210" i="269" s="1"/>
  <c r="M211" i="269"/>
  <c r="O211" i="269" s="1"/>
  <c r="N211" i="269"/>
  <c r="P211" i="269" s="1"/>
  <c r="M212" i="269"/>
  <c r="O212" i="269" s="1"/>
  <c r="N212" i="269"/>
  <c r="P212" i="269" s="1"/>
  <c r="M213" i="269"/>
  <c r="O213" i="269" s="1"/>
  <c r="N213" i="269"/>
  <c r="P213" i="269" s="1"/>
  <c r="M214" i="269"/>
  <c r="O214" i="269" s="1"/>
  <c r="N214" i="269"/>
  <c r="P214" i="269" s="1"/>
  <c r="M215" i="269"/>
  <c r="O215" i="269" s="1"/>
  <c r="N215" i="269"/>
  <c r="P215" i="269" s="1"/>
  <c r="M216" i="269"/>
  <c r="O216" i="269" s="1"/>
  <c r="N216" i="269"/>
  <c r="P216" i="269" s="1"/>
  <c r="M217" i="269"/>
  <c r="O217" i="269" s="1"/>
  <c r="N217" i="269"/>
  <c r="P217" i="269" s="1"/>
  <c r="M218" i="269"/>
  <c r="O218" i="269" s="1"/>
  <c r="N218" i="269"/>
  <c r="P218" i="269" s="1"/>
  <c r="M219" i="269"/>
  <c r="O219" i="269" s="1"/>
  <c r="N219" i="269"/>
  <c r="P219" i="269" s="1"/>
  <c r="M220" i="269"/>
  <c r="O220" i="269" s="1"/>
  <c r="N220" i="269"/>
  <c r="P220" i="269" s="1"/>
  <c r="M221" i="269"/>
  <c r="O221" i="269" s="1"/>
  <c r="N221" i="269"/>
  <c r="P221" i="269" s="1"/>
  <c r="M222" i="269"/>
  <c r="O222" i="269" s="1"/>
  <c r="N222" i="269"/>
  <c r="P222" i="269" s="1"/>
  <c r="M223" i="269"/>
  <c r="O223" i="269" s="1"/>
  <c r="N223" i="269"/>
  <c r="P223" i="269" s="1"/>
  <c r="M224" i="269"/>
  <c r="O224" i="269" s="1"/>
  <c r="N224" i="269"/>
  <c r="P224" i="269" s="1"/>
  <c r="M225" i="269"/>
  <c r="O225" i="269" s="1"/>
  <c r="N225" i="269"/>
  <c r="P225" i="269" s="1"/>
  <c r="M226" i="269"/>
  <c r="O226" i="269" s="1"/>
  <c r="N226" i="269"/>
  <c r="P226" i="269" s="1"/>
  <c r="M227" i="269"/>
  <c r="O227" i="269" s="1"/>
  <c r="N227" i="269"/>
  <c r="P227" i="269" s="1"/>
  <c r="M228" i="269"/>
  <c r="O228" i="269" s="1"/>
  <c r="N228" i="269"/>
  <c r="P228" i="269" s="1"/>
  <c r="M229" i="269"/>
  <c r="O229" i="269" s="1"/>
  <c r="N229" i="269"/>
  <c r="P229" i="269" s="1"/>
  <c r="M230" i="269"/>
  <c r="O230" i="269" s="1"/>
  <c r="N230" i="269"/>
  <c r="P230" i="269" s="1"/>
  <c r="M231" i="269"/>
  <c r="O231" i="269" s="1"/>
  <c r="N231" i="269"/>
  <c r="P231" i="269" s="1"/>
  <c r="M232" i="269"/>
  <c r="O232" i="269" s="1"/>
  <c r="N232" i="269"/>
  <c r="P232" i="269" s="1"/>
  <c r="M233" i="269"/>
  <c r="O233" i="269" s="1"/>
  <c r="N233" i="269"/>
  <c r="P233" i="269" s="1"/>
  <c r="M234" i="269"/>
  <c r="O234" i="269" s="1"/>
  <c r="N234" i="269"/>
  <c r="P234" i="269" s="1"/>
  <c r="M235" i="269"/>
  <c r="O235" i="269" s="1"/>
  <c r="N235" i="269"/>
  <c r="P235" i="269" s="1"/>
  <c r="M236" i="269"/>
  <c r="O236" i="269" s="1"/>
  <c r="N236" i="269"/>
  <c r="P236" i="269" s="1"/>
  <c r="M237" i="269"/>
  <c r="O237" i="269" s="1"/>
  <c r="N237" i="269"/>
  <c r="P237" i="269" s="1"/>
  <c r="M238" i="269"/>
  <c r="O238" i="269" s="1"/>
  <c r="N238" i="269"/>
  <c r="P238" i="269" s="1"/>
  <c r="M239" i="269"/>
  <c r="O239" i="269" s="1"/>
  <c r="N239" i="269"/>
  <c r="P239" i="269" s="1"/>
  <c r="M240" i="269"/>
  <c r="O240" i="269" s="1"/>
  <c r="N240" i="269"/>
  <c r="P240" i="269" s="1"/>
  <c r="O241" i="269"/>
  <c r="M242" i="269"/>
  <c r="O242" i="269" s="1"/>
  <c r="N242" i="269"/>
  <c r="P242" i="269" s="1"/>
  <c r="M243" i="269"/>
  <c r="O243" i="269" s="1"/>
  <c r="N243" i="269"/>
  <c r="P243" i="269" s="1"/>
  <c r="M244" i="269"/>
  <c r="O244" i="269" s="1"/>
  <c r="N244" i="269"/>
  <c r="P244" i="269" s="1"/>
  <c r="M245" i="269"/>
  <c r="O245" i="269" s="1"/>
  <c r="N245" i="269"/>
  <c r="P245" i="269" s="1"/>
  <c r="M246" i="269"/>
  <c r="O246" i="269" s="1"/>
  <c r="N246" i="269"/>
  <c r="P246" i="269" s="1"/>
  <c r="M247" i="269"/>
  <c r="O247" i="269" s="1"/>
  <c r="N247" i="269"/>
  <c r="P247" i="269" s="1"/>
  <c r="M248" i="269"/>
  <c r="O248" i="269" s="1"/>
  <c r="N248" i="269"/>
  <c r="P248" i="269" s="1"/>
  <c r="M249" i="269"/>
  <c r="O249" i="269" s="1"/>
  <c r="N249" i="269"/>
  <c r="P249" i="269" s="1"/>
  <c r="M250" i="269"/>
  <c r="O250" i="269" s="1"/>
  <c r="N250" i="269"/>
  <c r="P250" i="269" s="1"/>
  <c r="M251" i="269"/>
  <c r="O251" i="269" s="1"/>
  <c r="N251" i="269"/>
  <c r="P251" i="269" s="1"/>
  <c r="M252" i="269"/>
  <c r="O252" i="269" s="1"/>
  <c r="N252" i="269"/>
  <c r="P252" i="269" s="1"/>
  <c r="M253" i="269"/>
  <c r="O253" i="269" s="1"/>
  <c r="N253" i="269"/>
  <c r="P253" i="269" s="1"/>
  <c r="M254" i="269"/>
  <c r="O254" i="269" s="1"/>
  <c r="N254" i="269"/>
  <c r="P254" i="269" s="1"/>
  <c r="M255" i="269"/>
  <c r="O255" i="269" s="1"/>
  <c r="N255" i="269"/>
  <c r="P255" i="269" s="1"/>
  <c r="M256" i="269"/>
  <c r="O256" i="269" s="1"/>
  <c r="N256" i="269"/>
  <c r="P256" i="269" s="1"/>
  <c r="M257" i="269"/>
  <c r="O257" i="269" s="1"/>
  <c r="N257" i="269"/>
  <c r="P257" i="269" s="1"/>
  <c r="M258" i="269"/>
  <c r="O258" i="269" s="1"/>
  <c r="N258" i="269"/>
  <c r="P258" i="269" s="1"/>
  <c r="M259" i="269"/>
  <c r="O259" i="269" s="1"/>
  <c r="N259" i="269"/>
  <c r="P259" i="269" s="1"/>
  <c r="M260" i="269"/>
  <c r="O260" i="269" s="1"/>
  <c r="N260" i="269"/>
  <c r="P260" i="269" s="1"/>
  <c r="M261" i="269"/>
  <c r="O261" i="269" s="1"/>
  <c r="N261" i="269"/>
  <c r="P261" i="269" s="1"/>
  <c r="M262" i="269"/>
  <c r="O262" i="269" s="1"/>
  <c r="N262" i="269"/>
  <c r="P262" i="269" s="1"/>
  <c r="M263" i="269"/>
  <c r="O263" i="269" s="1"/>
  <c r="N263" i="269"/>
  <c r="P263" i="269" s="1"/>
  <c r="M264" i="269"/>
  <c r="O264" i="269" s="1"/>
  <c r="N264" i="269"/>
  <c r="P264" i="269" s="1"/>
  <c r="M265" i="269"/>
  <c r="O265" i="269" s="1"/>
  <c r="N265" i="269"/>
  <c r="P265" i="269" s="1"/>
  <c r="M266" i="269"/>
  <c r="O266" i="269" s="1"/>
  <c r="N266" i="269"/>
  <c r="P266" i="269" s="1"/>
  <c r="M267" i="269"/>
  <c r="O267" i="269" s="1"/>
  <c r="N267" i="269"/>
  <c r="P267" i="269" s="1"/>
  <c r="M268" i="269"/>
  <c r="O268" i="269" s="1"/>
  <c r="N268" i="269"/>
  <c r="P268" i="269" s="1"/>
  <c r="M269" i="269"/>
  <c r="O269" i="269" s="1"/>
  <c r="N269" i="269"/>
  <c r="P269" i="269" s="1"/>
  <c r="M270" i="269"/>
  <c r="O270" i="269" s="1"/>
  <c r="N270" i="269"/>
  <c r="P270" i="269" s="1"/>
  <c r="N209" i="269"/>
  <c r="P209" i="269" s="1"/>
  <c r="M209" i="269"/>
  <c r="O209" i="269" s="1"/>
  <c r="N208" i="269"/>
  <c r="P208" i="269" s="1"/>
  <c r="M208" i="269"/>
  <c r="O208" i="269" s="1"/>
  <c r="M105" i="269"/>
  <c r="O105" i="269" s="1"/>
  <c r="N105" i="269"/>
  <c r="P105" i="269" s="1"/>
  <c r="M106" i="269"/>
  <c r="O106" i="269" s="1"/>
  <c r="N106" i="269"/>
  <c r="P106" i="269" s="1"/>
  <c r="M107" i="269"/>
  <c r="O107" i="269" s="1"/>
  <c r="N107" i="269"/>
  <c r="P107" i="269" s="1"/>
  <c r="M108" i="269"/>
  <c r="O108" i="269" s="1"/>
  <c r="N108" i="269"/>
  <c r="P108" i="269" s="1"/>
  <c r="M109" i="269"/>
  <c r="O109" i="269" s="1"/>
  <c r="N109" i="269"/>
  <c r="P109" i="269" s="1"/>
  <c r="M110" i="269"/>
  <c r="O110" i="269" s="1"/>
  <c r="N110" i="269"/>
  <c r="P110" i="269" s="1"/>
  <c r="M112" i="269"/>
  <c r="O112" i="269" s="1"/>
  <c r="N112" i="269"/>
  <c r="P112" i="269" s="1"/>
  <c r="M113" i="269"/>
  <c r="O113" i="269" s="1"/>
  <c r="N113" i="269"/>
  <c r="P113" i="269" s="1"/>
  <c r="M114" i="269"/>
  <c r="O114" i="269" s="1"/>
  <c r="N114" i="269"/>
  <c r="P114" i="269" s="1"/>
  <c r="M115" i="269"/>
  <c r="O115" i="269" s="1"/>
  <c r="N115" i="269"/>
  <c r="P115" i="269" s="1"/>
  <c r="M116" i="269"/>
  <c r="O116" i="269" s="1"/>
  <c r="N116" i="269"/>
  <c r="P116" i="269" s="1"/>
  <c r="M117" i="269"/>
  <c r="O117" i="269" s="1"/>
  <c r="N117" i="269"/>
  <c r="P117" i="269" s="1"/>
  <c r="M118" i="269"/>
  <c r="O118" i="269" s="1"/>
  <c r="N118" i="269"/>
  <c r="P118" i="269" s="1"/>
  <c r="M119" i="269"/>
  <c r="O119" i="269" s="1"/>
  <c r="N119" i="269"/>
  <c r="P119" i="269" s="1"/>
  <c r="M120" i="269"/>
  <c r="O120" i="269" s="1"/>
  <c r="N120" i="269"/>
  <c r="P120" i="269" s="1"/>
  <c r="M121" i="269"/>
  <c r="O121" i="269" s="1"/>
  <c r="N121" i="269"/>
  <c r="P121" i="269" s="1"/>
  <c r="O122" i="269"/>
  <c r="N122" i="269"/>
  <c r="P122" i="269" s="1"/>
  <c r="M124" i="269"/>
  <c r="O124" i="269" s="1"/>
  <c r="N124" i="269"/>
  <c r="P124" i="269" s="1"/>
  <c r="M125" i="269"/>
  <c r="O125" i="269" s="1"/>
  <c r="N125" i="269"/>
  <c r="P125" i="269" s="1"/>
  <c r="M126" i="269"/>
  <c r="O126" i="269" s="1"/>
  <c r="N126" i="269"/>
  <c r="P126" i="269" s="1"/>
  <c r="M127" i="269"/>
  <c r="O127" i="269" s="1"/>
  <c r="N127" i="269"/>
  <c r="P127" i="269" s="1"/>
  <c r="M128" i="269"/>
  <c r="O128" i="269" s="1"/>
  <c r="N128" i="269"/>
  <c r="P128" i="269" s="1"/>
  <c r="M129" i="269"/>
  <c r="O129" i="269" s="1"/>
  <c r="N129" i="269"/>
  <c r="P129" i="269" s="1"/>
  <c r="M130" i="269"/>
  <c r="O130" i="269" s="1"/>
  <c r="N130" i="269"/>
  <c r="P130" i="269" s="1"/>
  <c r="M131" i="269"/>
  <c r="O131" i="269" s="1"/>
  <c r="N131" i="269"/>
  <c r="P131" i="269" s="1"/>
  <c r="M132" i="269"/>
  <c r="O132" i="269" s="1"/>
  <c r="N132" i="269"/>
  <c r="P132" i="269" s="1"/>
  <c r="M133" i="269"/>
  <c r="O133" i="269" s="1"/>
  <c r="N133" i="269"/>
  <c r="P133" i="269" s="1"/>
  <c r="M134" i="269"/>
  <c r="O134" i="269" s="1"/>
  <c r="N134" i="269"/>
  <c r="P134" i="269" s="1"/>
  <c r="M135" i="269"/>
  <c r="O135" i="269" s="1"/>
  <c r="N135" i="269"/>
  <c r="P135" i="269" s="1"/>
  <c r="M136" i="269"/>
  <c r="O136" i="269" s="1"/>
  <c r="N136" i="269"/>
  <c r="P136" i="269" s="1"/>
  <c r="M137" i="269"/>
  <c r="O137" i="269" s="1"/>
  <c r="N137" i="269"/>
  <c r="P137" i="269" s="1"/>
  <c r="M138" i="269"/>
  <c r="O138" i="269" s="1"/>
  <c r="N138" i="269"/>
  <c r="P138" i="269" s="1"/>
  <c r="M139" i="269"/>
  <c r="O139" i="269" s="1"/>
  <c r="N139" i="269"/>
  <c r="P139" i="269" s="1"/>
  <c r="M140" i="269"/>
  <c r="O140" i="269" s="1"/>
  <c r="N140" i="269"/>
  <c r="P140" i="269" s="1"/>
  <c r="M141" i="269"/>
  <c r="O141" i="269" s="1"/>
  <c r="N141" i="269"/>
  <c r="P141" i="269" s="1"/>
  <c r="M142" i="269"/>
  <c r="O142" i="269" s="1"/>
  <c r="N142" i="269"/>
  <c r="P142" i="269" s="1"/>
  <c r="M143" i="269"/>
  <c r="O143" i="269" s="1"/>
  <c r="N143" i="269"/>
  <c r="P143" i="269" s="1"/>
  <c r="M144" i="269"/>
  <c r="O144" i="269" s="1"/>
  <c r="N144" i="269"/>
  <c r="P144" i="269" s="1"/>
  <c r="M145" i="269"/>
  <c r="O145" i="269" s="1"/>
  <c r="N145" i="269"/>
  <c r="P145" i="269" s="1"/>
  <c r="M146" i="269"/>
  <c r="O146" i="269" s="1"/>
  <c r="N146" i="269"/>
  <c r="P146" i="269" s="1"/>
  <c r="M147" i="269"/>
  <c r="O147" i="269" s="1"/>
  <c r="N147" i="269"/>
  <c r="P147" i="269" s="1"/>
  <c r="M148" i="269"/>
  <c r="O148" i="269" s="1"/>
  <c r="N148" i="269"/>
  <c r="P148" i="269" s="1"/>
  <c r="M149" i="269"/>
  <c r="O149" i="269" s="1"/>
  <c r="N149" i="269"/>
  <c r="P149" i="269" s="1"/>
  <c r="M150" i="269"/>
  <c r="O150" i="269" s="1"/>
  <c r="N150" i="269"/>
  <c r="P150" i="269" s="1"/>
  <c r="M151" i="269"/>
  <c r="O151" i="269" s="1"/>
  <c r="N151" i="269"/>
  <c r="P151" i="269" s="1"/>
  <c r="M152" i="269"/>
  <c r="O152" i="269" s="1"/>
  <c r="N152" i="269"/>
  <c r="P152" i="269" s="1"/>
  <c r="M153" i="269"/>
  <c r="O153" i="269" s="1"/>
  <c r="N153" i="269"/>
  <c r="P153" i="269" s="1"/>
  <c r="M154" i="269"/>
  <c r="O154" i="269" s="1"/>
  <c r="N154" i="269"/>
  <c r="P154" i="269" s="1"/>
  <c r="M155" i="269"/>
  <c r="O155" i="269" s="1"/>
  <c r="P155" i="269"/>
  <c r="O156" i="269"/>
  <c r="N156" i="269"/>
  <c r="P156" i="269" s="1"/>
  <c r="M157" i="269"/>
  <c r="O157" i="269" s="1"/>
  <c r="N157" i="269"/>
  <c r="P157" i="269" s="1"/>
  <c r="M158" i="269"/>
  <c r="O158" i="269" s="1"/>
  <c r="N158" i="269"/>
  <c r="P158" i="269" s="1"/>
  <c r="M159" i="269"/>
  <c r="O159" i="269" s="1"/>
  <c r="N159" i="269"/>
  <c r="P159" i="269" s="1"/>
  <c r="M160" i="269"/>
  <c r="O160" i="269" s="1"/>
  <c r="N160" i="269"/>
  <c r="P160" i="269" s="1"/>
  <c r="M161" i="269"/>
  <c r="O161" i="269" s="1"/>
  <c r="N161" i="269"/>
  <c r="P161" i="269" s="1"/>
  <c r="M162" i="269"/>
  <c r="O162" i="269" s="1"/>
  <c r="N162" i="269"/>
  <c r="P162" i="269" s="1"/>
  <c r="M163" i="269"/>
  <c r="O163" i="269" s="1"/>
  <c r="N163" i="269"/>
  <c r="P163" i="269" s="1"/>
  <c r="M164" i="269"/>
  <c r="O164" i="269" s="1"/>
  <c r="N164" i="269"/>
  <c r="P164" i="269" s="1"/>
  <c r="M165" i="269"/>
  <c r="O165" i="269" s="1"/>
  <c r="N165" i="269"/>
  <c r="P165" i="269" s="1"/>
  <c r="M166" i="269"/>
  <c r="O166" i="269" s="1"/>
  <c r="N166" i="269"/>
  <c r="P166" i="269" s="1"/>
  <c r="N104" i="269"/>
  <c r="P104" i="269" s="1"/>
  <c r="M104" i="269"/>
  <c r="O104" i="269" s="1"/>
  <c r="N103" i="269"/>
  <c r="P103" i="269" s="1"/>
  <c r="O103" i="269"/>
  <c r="N102" i="269"/>
  <c r="P102" i="269" s="1"/>
  <c r="M102" i="269"/>
  <c r="O102" i="269" s="1"/>
  <c r="T23" i="269"/>
  <c r="T24" i="269"/>
  <c r="T25" i="269"/>
  <c r="T26" i="269"/>
  <c r="T27" i="269"/>
  <c r="T28" i="269"/>
  <c r="T29" i="269"/>
  <c r="T30" i="269"/>
  <c r="T31" i="269"/>
  <c r="T34" i="269"/>
  <c r="T35" i="269"/>
  <c r="T36" i="269"/>
  <c r="T37" i="269"/>
  <c r="T38" i="269"/>
  <c r="T41" i="269"/>
  <c r="T42" i="269"/>
  <c r="T43" i="269"/>
  <c r="T44" i="269"/>
  <c r="T45" i="269"/>
  <c r="U45" i="269" s="1"/>
  <c r="T46" i="269"/>
  <c r="T47" i="269"/>
  <c r="T48" i="269"/>
  <c r="T49" i="269"/>
  <c r="T50" i="269"/>
  <c r="T51" i="269"/>
  <c r="T54" i="269"/>
  <c r="T55" i="269"/>
  <c r="T56" i="269"/>
  <c r="T57" i="269"/>
  <c r="T58" i="269"/>
  <c r="T59" i="269"/>
  <c r="T60" i="269"/>
  <c r="T61" i="269"/>
  <c r="T62" i="269"/>
  <c r="T63" i="269"/>
  <c r="T64" i="269"/>
  <c r="T65" i="269"/>
  <c r="U65" i="269" s="1"/>
  <c r="T66" i="269"/>
  <c r="T67" i="269"/>
  <c r="T68" i="269"/>
  <c r="T69" i="269"/>
  <c r="T72" i="269"/>
  <c r="T73" i="269"/>
  <c r="T74" i="269"/>
  <c r="T75" i="269"/>
  <c r="T76" i="269"/>
  <c r="T77" i="269"/>
  <c r="T78" i="269"/>
  <c r="T81" i="269"/>
  <c r="T82" i="269"/>
  <c r="T83" i="269"/>
  <c r="T84" i="269"/>
  <c r="T85" i="269"/>
  <c r="U85" i="269" s="1"/>
  <c r="T86" i="269"/>
  <c r="T87" i="269"/>
  <c r="T88" i="269"/>
  <c r="T89" i="269"/>
  <c r="T90" i="269"/>
  <c r="U90" i="269" s="1"/>
  <c r="T91" i="269"/>
  <c r="T92" i="269"/>
  <c r="T93" i="269"/>
  <c r="S94" i="269"/>
  <c r="T94" i="269"/>
  <c r="T97" i="269"/>
  <c r="T98" i="269"/>
  <c r="T99" i="269"/>
  <c r="T102" i="269"/>
  <c r="U102" i="269" s="1"/>
  <c r="T103" i="269"/>
  <c r="U103" i="269" s="1"/>
  <c r="T104" i="269"/>
  <c r="U104" i="269" s="1"/>
  <c r="T105" i="269"/>
  <c r="U105" i="269" s="1"/>
  <c r="T106" i="269"/>
  <c r="U106" i="269" s="1"/>
  <c r="T107" i="269"/>
  <c r="U107" i="269" s="1"/>
  <c r="T108" i="269"/>
  <c r="U108" i="269" s="1"/>
  <c r="T109" i="269"/>
  <c r="U109" i="269" s="1"/>
  <c r="T110" i="269"/>
  <c r="U110" i="269" s="1"/>
  <c r="N111" i="269"/>
  <c r="P111" i="269" s="1"/>
  <c r="T111" i="269"/>
  <c r="U111" i="269" s="1"/>
  <c r="T112" i="269"/>
  <c r="U112" i="269" s="1"/>
  <c r="T113" i="269"/>
  <c r="U113" i="269" s="1"/>
  <c r="T114" i="269"/>
  <c r="U114" i="269" s="1"/>
  <c r="T115" i="269"/>
  <c r="U115" i="269" s="1"/>
  <c r="T116" i="269"/>
  <c r="U116" i="269" s="1"/>
  <c r="T117" i="269"/>
  <c r="U117" i="269" s="1"/>
  <c r="T118" i="269"/>
  <c r="U118" i="269" s="1"/>
  <c r="T119" i="269"/>
  <c r="U119" i="269" s="1"/>
  <c r="T120" i="269"/>
  <c r="U120" i="269" s="1"/>
  <c r="T121" i="269"/>
  <c r="U121" i="269" s="1"/>
  <c r="T122" i="269"/>
  <c r="U122" i="269" s="1"/>
  <c r="N123" i="269"/>
  <c r="P123" i="269" s="1"/>
  <c r="T123" i="269"/>
  <c r="U123" i="269" s="1"/>
  <c r="T124" i="269"/>
  <c r="U124" i="269" s="1"/>
  <c r="T125" i="269"/>
  <c r="U125" i="269" s="1"/>
  <c r="T126" i="269"/>
  <c r="U126" i="269" s="1"/>
  <c r="T127" i="269"/>
  <c r="U127" i="269" s="1"/>
  <c r="T128" i="269"/>
  <c r="U128" i="269" s="1"/>
  <c r="T129" i="269"/>
  <c r="U129" i="269" s="1"/>
  <c r="T130" i="269"/>
  <c r="U130" i="269" s="1"/>
  <c r="T131" i="269"/>
  <c r="U131" i="269" s="1"/>
  <c r="T132" i="269"/>
  <c r="U132" i="269" s="1"/>
  <c r="T133" i="269"/>
  <c r="U133" i="269" s="1"/>
  <c r="T134" i="269"/>
  <c r="U134" i="269" s="1"/>
  <c r="T135" i="269"/>
  <c r="U135" i="269" s="1"/>
  <c r="T136" i="269"/>
  <c r="U136" i="269" s="1"/>
  <c r="T137" i="269"/>
  <c r="U137" i="269" s="1"/>
  <c r="T138" i="269"/>
  <c r="U138" i="269" s="1"/>
  <c r="T139" i="269"/>
  <c r="U139" i="269" s="1"/>
  <c r="T140" i="269"/>
  <c r="U140" i="269" s="1"/>
  <c r="T141" i="269"/>
  <c r="U141" i="269" s="1"/>
  <c r="T142" i="269"/>
  <c r="U142" i="269" s="1"/>
  <c r="T143" i="269"/>
  <c r="U143" i="269" s="1"/>
  <c r="T144" i="269"/>
  <c r="U144" i="269" s="1"/>
  <c r="T145" i="269"/>
  <c r="U145" i="269" s="1"/>
  <c r="T146" i="269"/>
  <c r="U146" i="269" s="1"/>
  <c r="T147" i="269"/>
  <c r="U147" i="269" s="1"/>
  <c r="T148" i="269"/>
  <c r="U148" i="269" s="1"/>
  <c r="T149" i="269"/>
  <c r="U149" i="269" s="1"/>
  <c r="T150" i="269"/>
  <c r="U150" i="269" s="1"/>
  <c r="T151" i="269"/>
  <c r="U151" i="269" s="1"/>
  <c r="T152" i="269"/>
  <c r="U152" i="269" s="1"/>
  <c r="T153" i="269"/>
  <c r="U153" i="269" s="1"/>
  <c r="T154" i="269"/>
  <c r="U154" i="269" s="1"/>
  <c r="T155" i="269"/>
  <c r="U155" i="269" s="1"/>
  <c r="T156" i="269"/>
  <c r="U156" i="269" s="1"/>
  <c r="T157" i="269"/>
  <c r="U157" i="269" s="1"/>
  <c r="T158" i="269"/>
  <c r="U158" i="269" s="1"/>
  <c r="T159" i="269"/>
  <c r="U159" i="269" s="1"/>
  <c r="T160" i="269"/>
  <c r="U160" i="269" s="1"/>
  <c r="T161" i="269"/>
  <c r="U161" i="269" s="1"/>
  <c r="T162" i="269"/>
  <c r="U162" i="269" s="1"/>
  <c r="T163" i="269"/>
  <c r="U163" i="269" s="1"/>
  <c r="T164" i="269"/>
  <c r="U164" i="269" s="1"/>
  <c r="T165" i="269"/>
  <c r="U165" i="269" s="1"/>
  <c r="T166" i="269"/>
  <c r="U166" i="269" s="1"/>
  <c r="T169" i="269"/>
  <c r="T170" i="269"/>
  <c r="T171" i="269"/>
  <c r="T172" i="269"/>
  <c r="T173" i="269"/>
  <c r="T174" i="269"/>
  <c r="T175" i="269"/>
  <c r="T176" i="269"/>
  <c r="T177" i="269"/>
  <c r="T178" i="269"/>
  <c r="T179" i="269"/>
  <c r="T180" i="269"/>
  <c r="T183" i="269"/>
  <c r="T184" i="269"/>
  <c r="T185" i="269"/>
  <c r="T186" i="269"/>
  <c r="T187" i="269"/>
  <c r="T188" i="269"/>
  <c r="T189" i="269"/>
  <c r="T190" i="269"/>
  <c r="T191" i="269"/>
  <c r="T194" i="269"/>
  <c r="T195" i="269"/>
  <c r="T196" i="269"/>
  <c r="T197" i="269"/>
  <c r="T198" i="269"/>
  <c r="T199" i="269"/>
  <c r="T200" i="269"/>
  <c r="T201" i="269"/>
  <c r="T202" i="269"/>
  <c r="T203" i="269"/>
  <c r="T204" i="269"/>
  <c r="T205" i="269"/>
  <c r="T208" i="269"/>
  <c r="U208" i="269" s="1"/>
  <c r="T209" i="269"/>
  <c r="U209" i="269" s="1"/>
  <c r="T210" i="269"/>
  <c r="U210" i="269" s="1"/>
  <c r="T211" i="269"/>
  <c r="U211" i="269" s="1"/>
  <c r="T212" i="269"/>
  <c r="U212" i="269" s="1"/>
  <c r="T213" i="269"/>
  <c r="U213" i="269" s="1"/>
  <c r="T214" i="269"/>
  <c r="U214" i="269" s="1"/>
  <c r="T215" i="269"/>
  <c r="U215" i="269" s="1"/>
  <c r="T216" i="269"/>
  <c r="U216" i="269" s="1"/>
  <c r="T217" i="269"/>
  <c r="U217" i="269" s="1"/>
  <c r="T218" i="269"/>
  <c r="U218" i="269" s="1"/>
  <c r="T219" i="269"/>
  <c r="U219" i="269" s="1"/>
  <c r="T220" i="269"/>
  <c r="U220" i="269" s="1"/>
  <c r="T221" i="269"/>
  <c r="U221" i="269" s="1"/>
  <c r="T222" i="269"/>
  <c r="U222" i="269" s="1"/>
  <c r="T223" i="269"/>
  <c r="U223" i="269" s="1"/>
  <c r="T224" i="269"/>
  <c r="U224" i="269" s="1"/>
  <c r="T225" i="269"/>
  <c r="U225" i="269" s="1"/>
  <c r="T226" i="269"/>
  <c r="U226" i="269" s="1"/>
  <c r="T227" i="269"/>
  <c r="U227" i="269" s="1"/>
  <c r="T228" i="269"/>
  <c r="U228" i="269" s="1"/>
  <c r="T229" i="269"/>
  <c r="U229" i="269" s="1"/>
  <c r="T230" i="269"/>
  <c r="U230" i="269" s="1"/>
  <c r="T231" i="269"/>
  <c r="U231" i="269" s="1"/>
  <c r="T232" i="269"/>
  <c r="U232" i="269" s="1"/>
  <c r="T233" i="269"/>
  <c r="U233" i="269" s="1"/>
  <c r="T234" i="269"/>
  <c r="U234" i="269" s="1"/>
  <c r="T235" i="269"/>
  <c r="U235" i="269" s="1"/>
  <c r="T236" i="269"/>
  <c r="U236" i="269" s="1"/>
  <c r="T237" i="269"/>
  <c r="U237" i="269" s="1"/>
  <c r="T238" i="269"/>
  <c r="U238" i="269" s="1"/>
  <c r="T239" i="269"/>
  <c r="U239" i="269" s="1"/>
  <c r="T240" i="269"/>
  <c r="U240" i="269" s="1"/>
  <c r="T241" i="269"/>
  <c r="U241" i="269" s="1"/>
  <c r="T242" i="269"/>
  <c r="U242" i="269" s="1"/>
  <c r="T243" i="269"/>
  <c r="U243" i="269" s="1"/>
  <c r="T244" i="269"/>
  <c r="U244" i="269" s="1"/>
  <c r="T245" i="269"/>
  <c r="U245" i="269" s="1"/>
  <c r="T246" i="269"/>
  <c r="U246" i="269" s="1"/>
  <c r="T247" i="269"/>
  <c r="U247" i="269" s="1"/>
  <c r="T248" i="269"/>
  <c r="U248" i="269" s="1"/>
  <c r="T249" i="269"/>
  <c r="U249" i="269" s="1"/>
  <c r="T250" i="269"/>
  <c r="U250" i="269" s="1"/>
  <c r="T251" i="269"/>
  <c r="U251" i="269" s="1"/>
  <c r="T252" i="269"/>
  <c r="U252" i="269" s="1"/>
  <c r="T253" i="269"/>
  <c r="U253" i="269" s="1"/>
  <c r="T254" i="269"/>
  <c r="U254" i="269" s="1"/>
  <c r="T255" i="269"/>
  <c r="U255" i="269" s="1"/>
  <c r="T256" i="269"/>
  <c r="U256" i="269" s="1"/>
  <c r="T257" i="269"/>
  <c r="U257" i="269" s="1"/>
  <c r="T258" i="269"/>
  <c r="U258" i="269" s="1"/>
  <c r="T259" i="269"/>
  <c r="U259" i="269" s="1"/>
  <c r="T260" i="269"/>
  <c r="U260" i="269" s="1"/>
  <c r="T261" i="269"/>
  <c r="U261" i="269" s="1"/>
  <c r="T262" i="269"/>
  <c r="U262" i="269" s="1"/>
  <c r="T263" i="269"/>
  <c r="U263" i="269" s="1"/>
  <c r="T264" i="269"/>
  <c r="U264" i="269" s="1"/>
  <c r="T265" i="269"/>
  <c r="U265" i="269" s="1"/>
  <c r="T266" i="269"/>
  <c r="U266" i="269" s="1"/>
  <c r="T267" i="269"/>
  <c r="U267" i="269" s="1"/>
  <c r="T268" i="269"/>
  <c r="U268" i="269" s="1"/>
  <c r="T269" i="269"/>
  <c r="U269" i="269" s="1"/>
  <c r="T270" i="269"/>
  <c r="U270" i="269" s="1"/>
  <c r="T273" i="269"/>
  <c r="U273" i="269" s="1"/>
  <c r="T274" i="269"/>
  <c r="U274" i="269" s="1"/>
  <c r="T277" i="269"/>
  <c r="T278" i="269"/>
  <c r="T279" i="269"/>
  <c r="T280" i="269"/>
  <c r="T281" i="269"/>
  <c r="T282" i="269"/>
  <c r="T285" i="269"/>
  <c r="T286" i="269"/>
  <c r="T287" i="269"/>
  <c r="T288" i="269"/>
  <c r="T289" i="269"/>
  <c r="T290" i="269"/>
  <c r="T291" i="269"/>
  <c r="T292" i="269"/>
  <c r="T293" i="269"/>
  <c r="T294" i="269"/>
  <c r="T295" i="269"/>
  <c r="T296" i="269"/>
  <c r="T297" i="269"/>
  <c r="T298" i="269"/>
  <c r="T299" i="269"/>
  <c r="T300" i="269"/>
  <c r="T301" i="269"/>
  <c r="T302" i="269"/>
  <c r="T303" i="269"/>
  <c r="T304" i="269"/>
  <c r="T305" i="269"/>
  <c r="T308" i="269"/>
  <c r="T309" i="269"/>
  <c r="T379" i="269"/>
  <c r="T380" i="269"/>
  <c r="U380" i="269" s="1"/>
  <c r="T381" i="269"/>
  <c r="T382" i="269"/>
  <c r="T383" i="269"/>
  <c r="T384" i="269"/>
  <c r="T385" i="269"/>
  <c r="T386" i="269"/>
  <c r="T389" i="269"/>
  <c r="T390" i="269"/>
  <c r="T391" i="269"/>
  <c r="T396" i="269"/>
  <c r="T397" i="269"/>
  <c r="T398" i="269"/>
  <c r="T399" i="269"/>
  <c r="T400" i="269"/>
  <c r="U400" i="269" s="1"/>
  <c r="T401" i="269"/>
  <c r="T402" i="269"/>
  <c r="T403" i="269"/>
  <c r="T404" i="269"/>
  <c r="T405" i="269"/>
  <c r="T406" i="269"/>
  <c r="T409" i="269"/>
  <c r="T410" i="269"/>
  <c r="T411" i="269"/>
  <c r="T412" i="269"/>
  <c r="T413" i="269"/>
  <c r="T414" i="269"/>
  <c r="T415" i="269"/>
  <c r="T416" i="269"/>
  <c r="T417" i="269"/>
  <c r="T418" i="269"/>
  <c r="T419" i="269"/>
  <c r="T420" i="269"/>
  <c r="U420" i="269" s="1"/>
  <c r="T421" i="269"/>
  <c r="T422" i="269"/>
  <c r="T425" i="269"/>
  <c r="T426" i="269"/>
  <c r="T427" i="269"/>
  <c r="T428" i="269"/>
  <c r="T429" i="269"/>
  <c r="T430" i="269"/>
  <c r="T431" i="269"/>
  <c r="T434" i="269"/>
  <c r="T435" i="269"/>
  <c r="T436" i="269"/>
  <c r="T437" i="269"/>
  <c r="T438" i="269"/>
  <c r="U438" i="269" s="1"/>
  <c r="T439" i="269"/>
  <c r="T440" i="269"/>
  <c r="T441" i="269"/>
  <c r="T442" i="269"/>
  <c r="T443" i="269"/>
  <c r="U443" i="269" s="1"/>
  <c r="T444" i="269"/>
  <c r="T445" i="269"/>
  <c r="T446" i="269"/>
  <c r="T450" i="269"/>
  <c r="T451" i="269"/>
  <c r="T454" i="269"/>
  <c r="U454" i="269" s="1"/>
  <c r="T455" i="269"/>
  <c r="U455" i="269" s="1"/>
  <c r="T456" i="269"/>
  <c r="U456" i="269" s="1"/>
  <c r="T457" i="269"/>
  <c r="U457" i="269" s="1"/>
  <c r="T458" i="269"/>
  <c r="U458" i="269" s="1"/>
  <c r="T459" i="269"/>
  <c r="U459" i="269" s="1"/>
  <c r="T460" i="269"/>
  <c r="T461" i="269"/>
  <c r="U461" i="269" s="1"/>
  <c r="T462" i="269"/>
  <c r="U462" i="269" s="1"/>
  <c r="T463" i="269"/>
  <c r="U463" i="269" s="1"/>
  <c r="T464" i="269"/>
  <c r="U464" i="269" s="1"/>
  <c r="T465" i="269"/>
  <c r="U465" i="269" s="1"/>
  <c r="T466" i="269"/>
  <c r="U466" i="269" s="1"/>
  <c r="T467" i="269"/>
  <c r="U467" i="269" s="1"/>
  <c r="T468" i="269"/>
  <c r="U468" i="269" s="1"/>
  <c r="T469" i="269"/>
  <c r="U469" i="269" s="1"/>
  <c r="T470" i="269"/>
  <c r="U470" i="269" s="1"/>
  <c r="T471" i="269"/>
  <c r="U471" i="269" s="1"/>
  <c r="T472" i="269"/>
  <c r="U472" i="269" s="1"/>
  <c r="T473" i="269"/>
  <c r="U473" i="269" s="1"/>
  <c r="T474" i="269"/>
  <c r="U474" i="269" s="1"/>
  <c r="T475" i="269"/>
  <c r="U475" i="269" s="1"/>
  <c r="T476" i="269"/>
  <c r="U476" i="269" s="1"/>
  <c r="T477" i="269"/>
  <c r="U477" i="269" s="1"/>
  <c r="T478" i="269"/>
  <c r="U478" i="269" s="1"/>
  <c r="T479" i="269"/>
  <c r="U479" i="269" s="1"/>
  <c r="T480" i="269"/>
  <c r="U480" i="269" s="1"/>
  <c r="T481" i="269"/>
  <c r="U481" i="269" s="1"/>
  <c r="T482" i="269"/>
  <c r="U482" i="269" s="1"/>
  <c r="T483" i="269"/>
  <c r="U483" i="269" s="1"/>
  <c r="T484" i="269"/>
  <c r="U484" i="269" s="1"/>
  <c r="T485" i="269"/>
  <c r="U485" i="269" s="1"/>
  <c r="T486" i="269"/>
  <c r="U486" i="269" s="1"/>
  <c r="T487" i="269"/>
  <c r="U487" i="269" s="1"/>
  <c r="T488" i="269"/>
  <c r="U488" i="269" s="1"/>
  <c r="T489" i="269"/>
  <c r="U489" i="269" s="1"/>
  <c r="T490" i="269"/>
  <c r="U490" i="269" s="1"/>
  <c r="T491" i="269"/>
  <c r="U491" i="269" s="1"/>
  <c r="T492" i="269"/>
  <c r="U492" i="269" s="1"/>
  <c r="T493" i="269"/>
  <c r="U493" i="269" s="1"/>
  <c r="T494" i="269"/>
  <c r="U494" i="269" s="1"/>
  <c r="T495" i="269"/>
  <c r="U495" i="269" s="1"/>
  <c r="T496" i="269"/>
  <c r="U496" i="269" s="1"/>
  <c r="T497" i="269"/>
  <c r="U497" i="269" s="1"/>
  <c r="T498" i="269"/>
  <c r="U498" i="269" s="1"/>
  <c r="T499" i="269"/>
  <c r="U499" i="269" s="1"/>
  <c r="T500" i="269"/>
  <c r="U500" i="269" s="1"/>
  <c r="T501" i="269"/>
  <c r="U501" i="269" s="1"/>
  <c r="T502" i="269"/>
  <c r="U502" i="269" s="1"/>
  <c r="T503" i="269"/>
  <c r="U503" i="269" s="1"/>
  <c r="T504" i="269"/>
  <c r="U504" i="269" s="1"/>
  <c r="T505" i="269"/>
  <c r="U505" i="269" s="1"/>
  <c r="T506" i="269"/>
  <c r="U506" i="269" s="1"/>
  <c r="T507" i="269"/>
  <c r="U507" i="269" s="1"/>
  <c r="T508" i="269"/>
  <c r="U508" i="269" s="1"/>
  <c r="T509" i="269"/>
  <c r="U509" i="269" s="1"/>
  <c r="T510" i="269"/>
  <c r="U510" i="269" s="1"/>
  <c r="T511" i="269"/>
  <c r="U511" i="269" s="1"/>
  <c r="T512" i="269"/>
  <c r="T513" i="269"/>
  <c r="U513" i="269" s="1"/>
  <c r="T514" i="269"/>
  <c r="U514" i="269" s="1"/>
  <c r="T515" i="269"/>
  <c r="U515" i="269" s="1"/>
  <c r="T516" i="269"/>
  <c r="U516" i="269" s="1"/>
  <c r="T517" i="269"/>
  <c r="U517" i="269" s="1"/>
  <c r="T518" i="269"/>
  <c r="U518" i="269" s="1"/>
  <c r="T519" i="269"/>
  <c r="U519" i="269" s="1"/>
  <c r="T520" i="269"/>
  <c r="U520" i="269" s="1"/>
  <c r="T521" i="269"/>
  <c r="U521" i="269" s="1"/>
  <c r="T522" i="269"/>
  <c r="U522" i="269" s="1"/>
  <c r="T523" i="269"/>
  <c r="U523" i="269" s="1"/>
  <c r="T524" i="269"/>
  <c r="U524" i="269" s="1"/>
  <c r="T527" i="269"/>
  <c r="T528" i="269"/>
  <c r="T529" i="269"/>
  <c r="T530" i="269"/>
  <c r="T531" i="269"/>
  <c r="T532" i="269"/>
  <c r="T533" i="269"/>
  <c r="T534" i="269"/>
  <c r="T535" i="269"/>
  <c r="T536" i="269"/>
  <c r="T537" i="269"/>
  <c r="U537" i="269" s="1"/>
  <c r="T538" i="269"/>
  <c r="T541" i="269"/>
  <c r="T542" i="269"/>
  <c r="T543" i="269"/>
  <c r="T544" i="269"/>
  <c r="T545" i="269"/>
  <c r="T546" i="269"/>
  <c r="T547" i="269"/>
  <c r="T548" i="269"/>
  <c r="T549" i="269"/>
  <c r="T552" i="269"/>
  <c r="U552" i="269" s="1"/>
  <c r="T553" i="269"/>
  <c r="T554" i="269"/>
  <c r="U554" i="269" s="1"/>
  <c r="T555" i="269"/>
  <c r="T556" i="269"/>
  <c r="T557" i="269"/>
  <c r="T558" i="269"/>
  <c r="T559" i="269"/>
  <c r="T560" i="269"/>
  <c r="T561" i="269"/>
  <c r="T562" i="269"/>
  <c r="T563" i="269"/>
  <c r="T566" i="269"/>
  <c r="U566" i="269" s="1"/>
  <c r="T567" i="269"/>
  <c r="U567" i="269" s="1"/>
  <c r="T568" i="269"/>
  <c r="U568" i="269" s="1"/>
  <c r="T569" i="269"/>
  <c r="U569" i="269" s="1"/>
  <c r="T570" i="269"/>
  <c r="U570" i="269" s="1"/>
  <c r="T571" i="269"/>
  <c r="U571" i="269" s="1"/>
  <c r="T572" i="269"/>
  <c r="U572" i="269" s="1"/>
  <c r="T573" i="269"/>
  <c r="U573" i="269" s="1"/>
  <c r="T574" i="269"/>
  <c r="U574" i="269" s="1"/>
  <c r="T575" i="269"/>
  <c r="U575" i="269" s="1"/>
  <c r="T576" i="269"/>
  <c r="U576" i="269" s="1"/>
  <c r="T577" i="269"/>
  <c r="U577" i="269" s="1"/>
  <c r="T578" i="269"/>
  <c r="U578" i="269" s="1"/>
  <c r="T579" i="269"/>
  <c r="U579" i="269" s="1"/>
  <c r="T580" i="269"/>
  <c r="U580" i="269" s="1"/>
  <c r="T581" i="269"/>
  <c r="U581" i="269" s="1"/>
  <c r="T582" i="269"/>
  <c r="U582" i="269" s="1"/>
  <c r="T583" i="269"/>
  <c r="U583" i="269" s="1"/>
  <c r="T584" i="269"/>
  <c r="U584" i="269" s="1"/>
  <c r="T585" i="269"/>
  <c r="U585" i="269" s="1"/>
  <c r="T586" i="269"/>
  <c r="U586" i="269" s="1"/>
  <c r="T587" i="269"/>
  <c r="U587" i="269" s="1"/>
  <c r="T588" i="269"/>
  <c r="U588" i="269" s="1"/>
  <c r="T589" i="269"/>
  <c r="U589" i="269" s="1"/>
  <c r="T590" i="269"/>
  <c r="U590" i="269" s="1"/>
  <c r="T591" i="269"/>
  <c r="U591" i="269" s="1"/>
  <c r="T592" i="269"/>
  <c r="U592" i="269" s="1"/>
  <c r="T593" i="269"/>
  <c r="U593" i="269" s="1"/>
  <c r="T594" i="269"/>
  <c r="U594" i="269" s="1"/>
  <c r="T595" i="269"/>
  <c r="U595" i="269" s="1"/>
  <c r="T596" i="269"/>
  <c r="U596" i="269" s="1"/>
  <c r="T597" i="269"/>
  <c r="U597" i="269" s="1"/>
  <c r="T598" i="269"/>
  <c r="U598" i="269" s="1"/>
  <c r="T599" i="269"/>
  <c r="U599" i="269" s="1"/>
  <c r="T600" i="269"/>
  <c r="U600" i="269" s="1"/>
  <c r="T601" i="269"/>
  <c r="U601" i="269" s="1"/>
  <c r="T602" i="269"/>
  <c r="U602" i="269" s="1"/>
  <c r="T603" i="269"/>
  <c r="U603" i="269" s="1"/>
  <c r="T604" i="269"/>
  <c r="U604" i="269" s="1"/>
  <c r="T605" i="269"/>
  <c r="U605" i="269" s="1"/>
  <c r="T606" i="269"/>
  <c r="U606" i="269" s="1"/>
  <c r="T607" i="269"/>
  <c r="U607" i="269" s="1"/>
  <c r="T608" i="269"/>
  <c r="U608" i="269" s="1"/>
  <c r="T609" i="269"/>
  <c r="U609" i="269" s="1"/>
  <c r="T610" i="269"/>
  <c r="U610" i="269" s="1"/>
  <c r="T611" i="269"/>
  <c r="U611" i="269" s="1"/>
  <c r="T612" i="269"/>
  <c r="U612" i="269" s="1"/>
  <c r="T613" i="269"/>
  <c r="U613" i="269" s="1"/>
  <c r="T614" i="269"/>
  <c r="U614" i="269" s="1"/>
  <c r="T615" i="269"/>
  <c r="U615" i="269" s="1"/>
  <c r="T616" i="269"/>
  <c r="U616" i="269" s="1"/>
  <c r="T617" i="269"/>
  <c r="U617" i="269" s="1"/>
  <c r="T618" i="269"/>
  <c r="U618" i="269" s="1"/>
  <c r="T619" i="269"/>
  <c r="U619" i="269" s="1"/>
  <c r="T620" i="269"/>
  <c r="U620" i="269" s="1"/>
  <c r="T621" i="269"/>
  <c r="U621" i="269" s="1"/>
  <c r="T622" i="269"/>
  <c r="U622" i="269" s="1"/>
  <c r="T623" i="269"/>
  <c r="U623" i="269" s="1"/>
  <c r="T626" i="269"/>
  <c r="U626" i="269" s="1"/>
  <c r="T627" i="269"/>
  <c r="U627" i="269" s="1"/>
  <c r="T631" i="269"/>
  <c r="U631" i="269" s="1"/>
  <c r="T634" i="269"/>
  <c r="T635" i="269"/>
  <c r="T636" i="269"/>
  <c r="T637" i="269"/>
  <c r="T638" i="269"/>
  <c r="T639" i="269"/>
  <c r="T640" i="269"/>
  <c r="T641" i="269"/>
  <c r="T642" i="269"/>
  <c r="T643" i="269"/>
  <c r="T644" i="269"/>
  <c r="T645" i="269"/>
  <c r="T646" i="269"/>
  <c r="T647" i="269"/>
  <c r="T648" i="269"/>
  <c r="T649" i="269"/>
  <c r="T650" i="269"/>
  <c r="U650" i="269" s="1"/>
  <c r="T651" i="269"/>
  <c r="U651" i="269" s="1"/>
  <c r="T652" i="269"/>
  <c r="U652" i="269" s="1"/>
  <c r="T653" i="269"/>
  <c r="U653" i="269" s="1"/>
  <c r="T654" i="269"/>
  <c r="T655" i="269"/>
  <c r="T656" i="269"/>
  <c r="T659" i="269"/>
  <c r="T660" i="269"/>
  <c r="M111" i="269"/>
  <c r="O111" i="269" s="1"/>
  <c r="M123" i="269"/>
  <c r="O123" i="269" s="1"/>
  <c r="L5050" i="270"/>
  <c r="L3848" i="270"/>
  <c r="L3849" i="270"/>
  <c r="L3747" i="270"/>
  <c r="L3115" i="270"/>
  <c r="L3112" i="270"/>
  <c r="L3111" i="270"/>
  <c r="L3110" i="270"/>
  <c r="L3109" i="270"/>
  <c r="L3108" i="270"/>
  <c r="K3105" i="270"/>
  <c r="L3105" i="270" s="1"/>
  <c r="L2534" i="270"/>
  <c r="L2472" i="270"/>
  <c r="L1467" i="270"/>
  <c r="L2051" i="270"/>
  <c r="L2050" i="270"/>
  <c r="L1542" i="270"/>
  <c r="L1200" i="270"/>
  <c r="C1188" i="270"/>
  <c r="L1188" i="270" s="1"/>
  <c r="J1111" i="270"/>
  <c r="L1111" i="270" s="1"/>
  <c r="L591" i="270"/>
  <c r="L608" i="270"/>
  <c r="L122" i="270"/>
  <c r="L123" i="270"/>
  <c r="L124" i="270"/>
  <c r="C50" i="270"/>
  <c r="L50" i="270" s="1"/>
  <c r="L47" i="270" s="1"/>
  <c r="S24" i="269" s="1"/>
  <c r="D3765" i="270"/>
  <c r="K114" i="269"/>
  <c r="M39" i="269"/>
  <c r="L4041" i="270"/>
  <c r="L4040" i="270"/>
  <c r="L4039" i="270"/>
  <c r="L4038" i="270"/>
  <c r="L3994" i="270"/>
  <c r="L3993" i="270"/>
  <c r="L3992" i="270"/>
  <c r="L3991" i="270"/>
  <c r="L3954" i="270"/>
  <c r="L3955" i="270"/>
  <c r="L3956" i="270"/>
  <c r="L3957" i="270"/>
  <c r="L3711" i="270"/>
  <c r="L3708" i="270"/>
  <c r="L3706" i="270"/>
  <c r="L3658" i="270"/>
  <c r="L3657" i="270"/>
  <c r="L3656" i="270"/>
  <c r="L3655" i="270"/>
  <c r="F3654" i="270"/>
  <c r="L3654" i="270" s="1"/>
  <c r="L3652" i="270"/>
  <c r="L3651" i="270"/>
  <c r="L3650" i="270"/>
  <c r="F3649" i="270"/>
  <c r="L3649" i="270" s="1"/>
  <c r="F3648" i="270"/>
  <c r="L3648" i="270" s="1"/>
  <c r="F3647" i="270"/>
  <c r="L3647" i="270" s="1"/>
  <c r="F3646" i="270"/>
  <c r="L3646" i="270" s="1"/>
  <c r="F3645" i="270"/>
  <c r="L3645" i="270" s="1"/>
  <c r="L3643" i="270"/>
  <c r="L3642" i="270"/>
  <c r="L3641" i="270"/>
  <c r="F3640" i="270"/>
  <c r="L3640" i="270" s="1"/>
  <c r="F3639" i="270"/>
  <c r="L3639" i="270" s="1"/>
  <c r="F3638" i="270"/>
  <c r="L3638" i="270" s="1"/>
  <c r="F3637" i="270"/>
  <c r="L3637" i="270" s="1"/>
  <c r="F3636" i="270"/>
  <c r="L3636" i="270" s="1"/>
  <c r="L3633" i="270"/>
  <c r="L3632" i="270"/>
  <c r="L3631" i="270"/>
  <c r="F3630" i="270"/>
  <c r="L3630" i="270" s="1"/>
  <c r="F3629" i="270"/>
  <c r="L3629" i="270" s="1"/>
  <c r="F3628" i="270"/>
  <c r="L3628" i="270" s="1"/>
  <c r="F3627" i="270"/>
  <c r="L3627" i="270" s="1"/>
  <c r="F3626" i="270"/>
  <c r="L3626" i="270" s="1"/>
  <c r="L3624" i="270"/>
  <c r="F3623" i="270"/>
  <c r="L3623" i="270" s="1"/>
  <c r="L3622" i="270"/>
  <c r="F3621" i="270"/>
  <c r="L3621" i="270" s="1"/>
  <c r="L3620" i="270"/>
  <c r="F3619" i="270"/>
  <c r="L3619" i="270" s="1"/>
  <c r="L3618" i="270"/>
  <c r="F3617" i="270"/>
  <c r="L3617" i="270" s="1"/>
  <c r="L3587" i="270"/>
  <c r="L3561" i="270"/>
  <c r="L3560" i="270"/>
  <c r="L3559" i="270"/>
  <c r="L3558" i="270"/>
  <c r="F3557" i="270"/>
  <c r="L3557" i="270" s="1"/>
  <c r="L3555" i="270"/>
  <c r="L3554" i="270"/>
  <c r="L3553" i="270"/>
  <c r="F3552" i="270"/>
  <c r="L3552" i="270" s="1"/>
  <c r="F3551" i="270"/>
  <c r="L3551" i="270" s="1"/>
  <c r="F3550" i="270"/>
  <c r="L3550" i="270" s="1"/>
  <c r="F3549" i="270"/>
  <c r="L3549" i="270" s="1"/>
  <c r="F3548" i="270"/>
  <c r="L3548" i="270" s="1"/>
  <c r="L3546" i="270"/>
  <c r="L3545" i="270"/>
  <c r="L3544" i="270"/>
  <c r="F3543" i="270"/>
  <c r="L3543" i="270" s="1"/>
  <c r="F3542" i="270"/>
  <c r="L3542" i="270" s="1"/>
  <c r="F3541" i="270"/>
  <c r="L3541" i="270" s="1"/>
  <c r="F3540" i="270"/>
  <c r="L3540" i="270" s="1"/>
  <c r="F3539" i="270"/>
  <c r="L3539" i="270" s="1"/>
  <c r="L3536" i="270"/>
  <c r="L3535" i="270"/>
  <c r="L3534" i="270"/>
  <c r="F3533" i="270"/>
  <c r="L3533" i="270" s="1"/>
  <c r="F3532" i="270"/>
  <c r="L3532" i="270" s="1"/>
  <c r="F3531" i="270"/>
  <c r="L3531" i="270" s="1"/>
  <c r="F3530" i="270"/>
  <c r="L3530" i="270" s="1"/>
  <c r="F3529" i="270"/>
  <c r="L3529" i="270" s="1"/>
  <c r="L3527" i="270"/>
  <c r="F3526" i="270"/>
  <c r="L3526" i="270" s="1"/>
  <c r="L3525" i="270"/>
  <c r="F3524" i="270"/>
  <c r="L3524" i="270" s="1"/>
  <c r="L3523" i="270"/>
  <c r="F3522" i="270"/>
  <c r="L3522" i="270" s="1"/>
  <c r="L3521" i="270"/>
  <c r="F3520" i="270"/>
  <c r="L3520" i="270" s="1"/>
  <c r="C3499" i="270"/>
  <c r="D3499" i="270" s="1"/>
  <c r="L3503" i="270"/>
  <c r="L3504" i="270"/>
  <c r="F3505" i="270"/>
  <c r="L3505" i="270" s="1"/>
  <c r="L3506" i="270"/>
  <c r="F3507" i="270"/>
  <c r="L3507" i="270" s="1"/>
  <c r="L3508" i="270"/>
  <c r="L3512" i="270"/>
  <c r="L3513" i="270"/>
  <c r="F3514" i="270"/>
  <c r="L3514" i="270" s="1"/>
  <c r="F3515" i="270"/>
  <c r="L3515" i="270" s="1"/>
  <c r="F3516" i="270"/>
  <c r="L3516" i="270" s="1"/>
  <c r="L3517" i="270"/>
  <c r="L3386" i="270"/>
  <c r="F3385" i="270"/>
  <c r="L3385" i="270" s="1"/>
  <c r="F3384" i="270"/>
  <c r="L3384" i="270" s="1"/>
  <c r="F3383" i="270"/>
  <c r="L3383" i="270" s="1"/>
  <c r="F3382" i="270"/>
  <c r="L3382" i="270" s="1"/>
  <c r="L3381" i="270"/>
  <c r="L3380" i="270"/>
  <c r="L3379" i="270"/>
  <c r="L3375" i="270"/>
  <c r="F3374" i="270"/>
  <c r="L3374" i="270" s="1"/>
  <c r="F3373" i="270"/>
  <c r="L3373" i="270" s="1"/>
  <c r="F3372" i="270"/>
  <c r="L3372" i="270" s="1"/>
  <c r="F3371" i="270"/>
  <c r="L3371" i="270" s="1"/>
  <c r="L3370" i="270"/>
  <c r="L3369" i="270"/>
  <c r="L3368" i="270"/>
  <c r="L3362" i="270"/>
  <c r="F3361" i="270"/>
  <c r="L3361" i="270" s="1"/>
  <c r="F3360" i="270"/>
  <c r="L3360" i="270" s="1"/>
  <c r="F3359" i="270"/>
  <c r="L3359" i="270" s="1"/>
  <c r="F3358" i="270"/>
  <c r="L3358" i="270" s="1"/>
  <c r="L3357" i="270"/>
  <c r="L3356" i="270"/>
  <c r="L3355" i="270"/>
  <c r="F3349" i="270"/>
  <c r="L3349" i="270" s="1"/>
  <c r="L3348" i="270"/>
  <c r="L3347" i="270"/>
  <c r="F3346" i="270"/>
  <c r="L3346" i="270" s="1"/>
  <c r="L3345" i="270"/>
  <c r="F3344" i="270"/>
  <c r="L3344" i="270" s="1"/>
  <c r="L3343" i="270"/>
  <c r="F3342" i="270"/>
  <c r="L3342" i="270" s="1"/>
  <c r="I3335" i="270"/>
  <c r="L3335" i="270" s="1"/>
  <c r="I3331" i="270"/>
  <c r="L3331" i="270" s="1"/>
  <c r="L3298" i="270"/>
  <c r="L3297" i="270"/>
  <c r="L3296" i="270"/>
  <c r="F3295" i="270"/>
  <c r="L3295" i="270" s="1"/>
  <c r="L3294" i="270"/>
  <c r="L3293" i="270"/>
  <c r="L3292" i="270"/>
  <c r="L3291" i="270"/>
  <c r="L3290" i="270"/>
  <c r="I3289" i="270"/>
  <c r="L3289" i="270" s="1"/>
  <c r="L3288" i="270"/>
  <c r="L3287" i="270"/>
  <c r="L3286" i="270"/>
  <c r="L3284" i="270"/>
  <c r="L3283" i="270"/>
  <c r="L3282" i="270"/>
  <c r="L3281" i="270"/>
  <c r="L3280" i="270"/>
  <c r="L3278" i="270"/>
  <c r="L3277" i="270"/>
  <c r="L3276" i="270"/>
  <c r="L3275" i="270"/>
  <c r="L3273" i="270"/>
  <c r="L3272" i="270"/>
  <c r="L3271" i="270"/>
  <c r="L3270" i="270"/>
  <c r="L3269" i="270"/>
  <c r="L3267" i="270"/>
  <c r="L3266" i="270"/>
  <c r="L3265" i="270"/>
  <c r="L3264" i="270"/>
  <c r="L3263" i="270"/>
  <c r="I3260" i="270"/>
  <c r="L3260" i="270" s="1"/>
  <c r="I3259" i="270"/>
  <c r="L3259" i="270" s="1"/>
  <c r="L3256" i="270"/>
  <c r="L3254" i="270"/>
  <c r="L3252" i="270"/>
  <c r="L3251" i="270"/>
  <c r="L3248" i="270"/>
  <c r="L3247" i="270"/>
  <c r="L3244" i="270"/>
  <c r="L3243" i="270"/>
  <c r="C3309" i="270"/>
  <c r="D3309" i="270" s="1"/>
  <c r="F3315" i="270"/>
  <c r="L3315" i="270" s="1"/>
  <c r="L3316" i="270"/>
  <c r="F3317" i="270"/>
  <c r="L3317" i="270" s="1"/>
  <c r="L3318" i="270"/>
  <c r="L3222" i="270"/>
  <c r="L3221" i="270"/>
  <c r="L3220" i="270"/>
  <c r="F3219" i="270"/>
  <c r="L3219" i="270" s="1"/>
  <c r="L3218" i="270"/>
  <c r="L3217" i="270"/>
  <c r="L3216" i="270"/>
  <c r="L3215" i="270"/>
  <c r="L3214" i="270"/>
  <c r="I3213" i="270"/>
  <c r="L3213" i="270" s="1"/>
  <c r="L3212" i="270"/>
  <c r="L3211" i="270"/>
  <c r="L3210" i="270"/>
  <c r="L3206" i="270"/>
  <c r="F3205" i="270"/>
  <c r="L3205" i="270" s="1"/>
  <c r="F3204" i="270"/>
  <c r="L3204" i="270" s="1"/>
  <c r="F3203" i="270"/>
  <c r="L3203" i="270" s="1"/>
  <c r="F3202" i="270"/>
  <c r="L3202" i="270" s="1"/>
  <c r="L3201" i="270"/>
  <c r="L3200" i="270"/>
  <c r="L3199" i="270"/>
  <c r="L3196" i="270"/>
  <c r="L3195" i="270"/>
  <c r="L3193" i="270"/>
  <c r="F3192" i="270"/>
  <c r="L3192" i="270" s="1"/>
  <c r="F3191" i="270"/>
  <c r="L3191" i="270" s="1"/>
  <c r="F3190" i="270"/>
  <c r="L3190" i="270" s="1"/>
  <c r="F3189" i="270"/>
  <c r="L3189" i="270" s="1"/>
  <c r="L3188" i="270"/>
  <c r="L3187" i="270"/>
  <c r="L3186" i="270"/>
  <c r="L3184" i="270"/>
  <c r="L3183" i="270"/>
  <c r="L3182" i="270"/>
  <c r="L3181" i="270"/>
  <c r="L3179" i="270"/>
  <c r="F3178" i="270"/>
  <c r="L3178" i="270" s="1"/>
  <c r="F3177" i="270"/>
  <c r="L3177" i="270" s="1"/>
  <c r="F3176" i="270"/>
  <c r="L3176" i="270" s="1"/>
  <c r="F3175" i="270"/>
  <c r="L3175" i="270" s="1"/>
  <c r="L3174" i="270"/>
  <c r="L3173" i="270"/>
  <c r="L3172" i="270"/>
  <c r="L3170" i="270"/>
  <c r="L3169" i="270"/>
  <c r="L3168" i="270"/>
  <c r="L3167" i="270"/>
  <c r="F3164" i="270"/>
  <c r="L3164" i="270" s="1"/>
  <c r="L3163" i="270"/>
  <c r="L3162" i="270"/>
  <c r="F3161" i="270"/>
  <c r="L3161" i="270" s="1"/>
  <c r="L3160" i="270"/>
  <c r="F3159" i="270"/>
  <c r="L3159" i="270" s="1"/>
  <c r="L3158" i="270"/>
  <c r="F3157" i="270"/>
  <c r="L3157" i="270" s="1"/>
  <c r="L3155" i="270"/>
  <c r="L3154" i="270"/>
  <c r="L3153" i="270"/>
  <c r="L3152" i="270"/>
  <c r="L3149" i="270"/>
  <c r="L3147" i="270"/>
  <c r="L3146" i="270"/>
  <c r="L3144" i="270"/>
  <c r="F3143" i="270"/>
  <c r="L3143" i="270" s="1"/>
  <c r="F3142" i="270"/>
  <c r="L3142" i="270" s="1"/>
  <c r="F3141" i="270"/>
  <c r="L3141" i="270" s="1"/>
  <c r="L3140" i="270"/>
  <c r="L3139" i="270"/>
  <c r="L3135" i="270"/>
  <c r="F3134" i="270"/>
  <c r="L3134" i="270" s="1"/>
  <c r="L3133" i="270"/>
  <c r="F3132" i="270"/>
  <c r="L3132" i="270" s="1"/>
  <c r="L3131" i="270"/>
  <c r="L3130" i="270"/>
  <c r="L3018" i="270"/>
  <c r="L3017" i="270"/>
  <c r="L3016" i="270"/>
  <c r="L3015" i="270"/>
  <c r="L3014" i="270"/>
  <c r="L3013" i="270"/>
  <c r="L3012" i="270"/>
  <c r="L3011" i="270"/>
  <c r="F3010" i="270"/>
  <c r="E3010" i="270"/>
  <c r="D3010" i="270"/>
  <c r="L3009" i="270"/>
  <c r="E3008" i="270"/>
  <c r="L3008" i="270" s="1"/>
  <c r="E3007" i="270"/>
  <c r="L3007" i="270" s="1"/>
  <c r="E3006" i="270"/>
  <c r="L3006" i="270" s="1"/>
  <c r="E3005" i="270"/>
  <c r="L3005" i="270" s="1"/>
  <c r="C3002" i="270"/>
  <c r="L3002" i="270" s="1"/>
  <c r="F3001" i="270"/>
  <c r="D3001" i="270"/>
  <c r="L3000" i="270"/>
  <c r="L2999" i="270"/>
  <c r="L2998" i="270"/>
  <c r="L2997" i="270"/>
  <c r="L2994" i="270"/>
  <c r="L2993" i="270"/>
  <c r="L2992" i="270"/>
  <c r="L2991" i="270"/>
  <c r="L2990" i="270"/>
  <c r="L2989" i="270"/>
  <c r="L2988" i="270"/>
  <c r="L2987" i="270"/>
  <c r="L2986" i="270"/>
  <c r="L2985" i="270"/>
  <c r="L2984" i="270"/>
  <c r="F2983" i="270"/>
  <c r="E2983" i="270"/>
  <c r="D2983" i="270"/>
  <c r="L2982" i="270"/>
  <c r="E2981" i="270"/>
  <c r="L2981" i="270" s="1"/>
  <c r="E2980" i="270"/>
  <c r="L2980" i="270" s="1"/>
  <c r="E2979" i="270"/>
  <c r="L2979" i="270" s="1"/>
  <c r="E2978" i="270"/>
  <c r="L2978" i="270" s="1"/>
  <c r="E2977" i="270"/>
  <c r="L2977" i="270" s="1"/>
  <c r="E2973" i="270"/>
  <c r="D2973" i="270"/>
  <c r="E2972" i="270"/>
  <c r="D2972" i="270"/>
  <c r="E2971" i="270"/>
  <c r="D2971" i="270"/>
  <c r="E2970" i="270"/>
  <c r="D2970" i="270"/>
  <c r="E2969" i="270"/>
  <c r="D2969" i="270"/>
  <c r="E2966" i="270"/>
  <c r="D2966" i="270"/>
  <c r="E2965" i="270"/>
  <c r="D2965" i="270"/>
  <c r="E2964" i="270"/>
  <c r="D2964" i="270"/>
  <c r="E2963" i="270"/>
  <c r="D2963" i="270"/>
  <c r="E2962" i="270"/>
  <c r="D2962" i="270"/>
  <c r="E2961" i="270"/>
  <c r="D2961" i="270"/>
  <c r="E2960" i="270"/>
  <c r="D2960" i="270"/>
  <c r="E2959" i="270"/>
  <c r="D2959" i="270"/>
  <c r="E2958" i="270"/>
  <c r="D2958" i="270"/>
  <c r="E2957" i="270"/>
  <c r="D2957" i="270"/>
  <c r="E2955" i="270"/>
  <c r="D2955" i="270"/>
  <c r="E2954" i="270"/>
  <c r="D2954" i="270"/>
  <c r="C2952" i="270"/>
  <c r="L2952" i="270" s="1"/>
  <c r="C2951" i="270"/>
  <c r="L2951" i="270" s="1"/>
  <c r="L2950" i="270"/>
  <c r="C2949" i="270"/>
  <c r="L2949" i="270" s="1"/>
  <c r="L2948" i="270"/>
  <c r="L2947" i="270"/>
  <c r="F2943" i="270"/>
  <c r="D2943" i="270"/>
  <c r="L2942" i="270"/>
  <c r="L2933" i="270"/>
  <c r="L2932" i="270"/>
  <c r="L2931" i="270"/>
  <c r="L2930" i="270"/>
  <c r="L2929" i="270"/>
  <c r="L2928" i="270"/>
  <c r="L2927" i="270"/>
  <c r="L2926" i="270"/>
  <c r="F2924" i="270"/>
  <c r="E2924" i="270"/>
  <c r="D2924" i="270"/>
  <c r="E2922" i="270"/>
  <c r="L2922" i="270" s="1"/>
  <c r="E2921" i="270"/>
  <c r="L2921" i="270" s="1"/>
  <c r="E2920" i="270"/>
  <c r="L2920" i="270" s="1"/>
  <c r="E2919" i="270"/>
  <c r="L2919" i="270" s="1"/>
  <c r="E2918" i="270"/>
  <c r="L2918" i="270" s="1"/>
  <c r="C2915" i="270"/>
  <c r="L2915" i="270" s="1"/>
  <c r="F2914" i="270"/>
  <c r="D2914" i="270"/>
  <c r="L2913" i="270"/>
  <c r="L2912" i="270"/>
  <c r="L2911" i="270"/>
  <c r="L2910" i="270"/>
  <c r="L2907" i="270"/>
  <c r="L2906" i="270"/>
  <c r="L2904" i="270"/>
  <c r="L2903" i="270"/>
  <c r="L2902" i="270"/>
  <c r="L2901" i="270"/>
  <c r="L2900" i="270"/>
  <c r="L2899" i="270"/>
  <c r="L2898" i="270"/>
  <c r="L2897" i="270"/>
  <c r="F2896" i="270"/>
  <c r="E2896" i="270"/>
  <c r="D2896" i="270"/>
  <c r="L2895" i="270"/>
  <c r="E2894" i="270"/>
  <c r="L2894" i="270" s="1"/>
  <c r="E2893" i="270"/>
  <c r="L2893" i="270" s="1"/>
  <c r="E2892" i="270"/>
  <c r="L2892" i="270" s="1"/>
  <c r="E2891" i="270"/>
  <c r="L2891" i="270" s="1"/>
  <c r="E2890" i="270"/>
  <c r="L2890" i="270" s="1"/>
  <c r="L2876" i="270"/>
  <c r="L2875" i="270"/>
  <c r="L2874" i="270"/>
  <c r="L2873" i="270"/>
  <c r="L2871" i="270"/>
  <c r="L2870" i="270"/>
  <c r="L2869" i="270"/>
  <c r="L2868" i="270"/>
  <c r="L2865" i="270"/>
  <c r="L2864" i="270"/>
  <c r="L2863" i="270"/>
  <c r="L2861" i="270"/>
  <c r="L2860" i="270"/>
  <c r="C2855" i="270"/>
  <c r="L2855" i="270" s="1"/>
  <c r="D2852" i="270"/>
  <c r="L2852" i="270" s="1"/>
  <c r="G2851" i="270"/>
  <c r="E2851" i="270"/>
  <c r="C2851" i="270"/>
  <c r="L2850" i="270"/>
  <c r="L2847" i="270"/>
  <c r="C2846" i="270"/>
  <c r="L2846" i="270" s="1"/>
  <c r="L2843" i="270"/>
  <c r="L2839" i="270"/>
  <c r="L2838" i="270"/>
  <c r="L2837" i="270"/>
  <c r="E2835" i="270"/>
  <c r="D2835" i="270"/>
  <c r="G2834" i="270"/>
  <c r="D2834" i="270"/>
  <c r="H2833" i="270"/>
  <c r="G2833" i="270"/>
  <c r="D2833" i="270"/>
  <c r="G2832" i="270"/>
  <c r="D2832" i="270"/>
  <c r="E2830" i="270"/>
  <c r="L2830" i="270" s="1"/>
  <c r="E2829" i="270"/>
  <c r="L2829" i="270" s="1"/>
  <c r="C3070" i="270"/>
  <c r="D3070" i="270" s="1"/>
  <c r="C3081" i="270"/>
  <c r="L3081" i="270"/>
  <c r="C3094" i="270"/>
  <c r="J3094" i="270" s="1"/>
  <c r="L3097" i="270"/>
  <c r="F3101" i="270"/>
  <c r="L3101" i="270" s="1"/>
  <c r="C3126" i="270"/>
  <c r="N400" i="269"/>
  <c r="P400" i="269" s="1"/>
  <c r="M400" i="269"/>
  <c r="O400" i="269" s="1"/>
  <c r="L4051" i="270"/>
  <c r="I4089" i="270"/>
  <c r="L4089" i="270" s="1"/>
  <c r="I4088" i="270"/>
  <c r="L4088" i="270" s="1"/>
  <c r="I4104" i="270"/>
  <c r="L4104" i="270" s="1"/>
  <c r="I4120" i="270"/>
  <c r="L4120" i="270" s="1"/>
  <c r="I4137" i="270"/>
  <c r="L4137" i="270" s="1"/>
  <c r="L4158" i="270"/>
  <c r="I4157" i="270"/>
  <c r="L4157" i="270" s="1"/>
  <c r="I4173" i="270"/>
  <c r="L4173" i="270" s="1"/>
  <c r="I4202" i="270"/>
  <c r="L4202" i="270" s="1"/>
  <c r="L4259" i="270"/>
  <c r="L4262" i="270"/>
  <c r="F4599" i="270"/>
  <c r="L4599" i="270" s="1"/>
  <c r="L4575" i="270"/>
  <c r="L4576" i="270"/>
  <c r="L4577" i="270"/>
  <c r="L4679" i="270"/>
  <c r="L4680" i="270"/>
  <c r="L4703" i="270"/>
  <c r="L4904" i="270"/>
  <c r="L4903" i="270"/>
  <c r="L4902" i="270"/>
  <c r="L4901" i="270"/>
  <c r="L4900" i="270"/>
  <c r="C4987" i="270"/>
  <c r="L4987" i="270" s="1"/>
  <c r="C5014" i="270"/>
  <c r="L5014" i="270" s="1"/>
  <c r="L5011" i="270" s="1"/>
  <c r="L5101" i="270"/>
  <c r="F3861" i="270"/>
  <c r="L3861" i="270" s="1"/>
  <c r="F3860" i="270"/>
  <c r="L3860" i="270" s="1"/>
  <c r="L3810" i="270"/>
  <c r="L3812" i="270"/>
  <c r="L3808" i="270"/>
  <c r="L3807" i="270"/>
  <c r="L3805" i="270"/>
  <c r="L3804" i="270"/>
  <c r="D5218" i="270"/>
  <c r="L2645" i="270"/>
  <c r="L2635" i="270"/>
  <c r="L2625" i="270"/>
  <c r="L2471" i="270"/>
  <c r="L2482" i="270"/>
  <c r="L2479" i="270" s="1"/>
  <c r="S288" i="269" s="1"/>
  <c r="M288" i="269" s="1"/>
  <c r="O288" i="269" s="1"/>
  <c r="L2535" i="270"/>
  <c r="L2147" i="270"/>
  <c r="L2040" i="270"/>
  <c r="L2039" i="270"/>
  <c r="L2038" i="270"/>
  <c r="L2036" i="270"/>
  <c r="D1957" i="270"/>
  <c r="L1901" i="270"/>
  <c r="L1899" i="270"/>
  <c r="L1898" i="270"/>
  <c r="L1896" i="270"/>
  <c r="L1900" i="270"/>
  <c r="L1767" i="270"/>
  <c r="L1760" i="270"/>
  <c r="L1728" i="270"/>
  <c r="L1727" i="270"/>
  <c r="F1651" i="270"/>
  <c r="F1652" i="270"/>
  <c r="F1650" i="270"/>
  <c r="L1677" i="270"/>
  <c r="L1676" i="270"/>
  <c r="L1675" i="270"/>
  <c r="L1672" i="270"/>
  <c r="L1613" i="270"/>
  <c r="L1596" i="270"/>
  <c r="L1593" i="270"/>
  <c r="L1590" i="270"/>
  <c r="L1586" i="270"/>
  <c r="L1595" i="270"/>
  <c r="L1592" i="270"/>
  <c r="L1589" i="270"/>
  <c r="L1577" i="270"/>
  <c r="L1548" i="270"/>
  <c r="L1521" i="270"/>
  <c r="F1477" i="270"/>
  <c r="L1477" i="270" s="1"/>
  <c r="D1454" i="270"/>
  <c r="D1435" i="270"/>
  <c r="L1427" i="270"/>
  <c r="D1451" i="270"/>
  <c r="D1447" i="270"/>
  <c r="D1433" i="270"/>
  <c r="D1429" i="270"/>
  <c r="F1363" i="270"/>
  <c r="L1363" i="270" s="1"/>
  <c r="K1343" i="270"/>
  <c r="L1343" i="270" s="1"/>
  <c r="F1311" i="270"/>
  <c r="L1311" i="270" s="1"/>
  <c r="L1293" i="270"/>
  <c r="L1292" i="270"/>
  <c r="F1201" i="270"/>
  <c r="L1201" i="270" s="1"/>
  <c r="L1187" i="270"/>
  <c r="J1110" i="270"/>
  <c r="L1110" i="270" s="1"/>
  <c r="D474" i="270"/>
  <c r="L464" i="270"/>
  <c r="L465" i="270"/>
  <c r="L466" i="270"/>
  <c r="L467" i="270"/>
  <c r="L468" i="270"/>
  <c r="E373" i="270"/>
  <c r="L373" i="270" s="1"/>
  <c r="C372" i="270"/>
  <c r="L372" i="270" s="1"/>
  <c r="C371" i="270"/>
  <c r="L371" i="270" s="1"/>
  <c r="H367" i="270"/>
  <c r="H366" i="270"/>
  <c r="H365" i="270"/>
  <c r="G367" i="270"/>
  <c r="E367" i="270"/>
  <c r="C367" i="270"/>
  <c r="G366" i="270"/>
  <c r="F366" i="270"/>
  <c r="D366" i="270"/>
  <c r="G365" i="270"/>
  <c r="E365" i="270"/>
  <c r="D365" i="270"/>
  <c r="D362" i="270"/>
  <c r="F362" i="270"/>
  <c r="F361" i="270"/>
  <c r="E361" i="270"/>
  <c r="G360" i="270"/>
  <c r="F360" i="270"/>
  <c r="E360" i="270"/>
  <c r="G359" i="270"/>
  <c r="F359" i="270"/>
  <c r="E359" i="270"/>
  <c r="E357" i="270"/>
  <c r="F356" i="270"/>
  <c r="F355" i="270"/>
  <c r="F354" i="270"/>
  <c r="F353" i="270"/>
  <c r="E353" i="270"/>
  <c r="D357" i="270"/>
  <c r="D356" i="270"/>
  <c r="D355" i="270"/>
  <c r="D354" i="270"/>
  <c r="D353" i="270"/>
  <c r="G350" i="270"/>
  <c r="G349" i="270"/>
  <c r="G348" i="270"/>
  <c r="D351" i="270"/>
  <c r="D350" i="270"/>
  <c r="D349" i="270"/>
  <c r="D348" i="270"/>
  <c r="L358" i="270"/>
  <c r="E351" i="270"/>
  <c r="H349" i="270"/>
  <c r="E346" i="270"/>
  <c r="L346" i="270" s="1"/>
  <c r="E345" i="270"/>
  <c r="L345" i="270" s="1"/>
  <c r="L328" i="270"/>
  <c r="L332" i="270"/>
  <c r="L38" i="270"/>
  <c r="L39" i="270"/>
  <c r="L25" i="270"/>
  <c r="L22" i="270" s="1"/>
  <c r="L4552" i="270"/>
  <c r="L4553" i="270"/>
  <c r="L4554" i="270"/>
  <c r="L4556" i="270"/>
  <c r="L4465" i="270"/>
  <c r="L4466" i="270"/>
  <c r="L4467" i="270"/>
  <c r="L4914" i="270"/>
  <c r="L4915" i="270"/>
  <c r="L4916" i="270"/>
  <c r="L4876" i="270"/>
  <c r="L4877" i="270"/>
  <c r="L4878" i="270"/>
  <c r="L4867" i="270"/>
  <c r="L4863" i="270"/>
  <c r="L4864" i="270"/>
  <c r="L4865" i="270"/>
  <c r="L4866" i="270"/>
  <c r="L4851" i="270"/>
  <c r="L4852" i="270"/>
  <c r="L4853" i="270"/>
  <c r="L4814" i="270"/>
  <c r="L4815" i="270"/>
  <c r="L4503" i="270"/>
  <c r="L4504" i="270"/>
  <c r="L4505" i="270"/>
  <c r="L4449" i="270"/>
  <c r="L4447" i="270"/>
  <c r="L4448" i="270"/>
  <c r="L4422" i="270"/>
  <c r="L4421" i="270"/>
  <c r="L4420" i="270"/>
  <c r="L4377" i="270"/>
  <c r="L4376" i="270"/>
  <c r="L4375" i="270"/>
  <c r="L4356" i="270"/>
  <c r="L4355" i="270"/>
  <c r="L4354" i="270"/>
  <c r="L4334" i="270"/>
  <c r="L4335" i="270"/>
  <c r="L4336" i="270"/>
  <c r="L4052" i="270"/>
  <c r="L4890" i="270"/>
  <c r="L4891" i="270"/>
  <c r="L4892" i="270"/>
  <c r="L4831" i="270"/>
  <c r="L4830" i="270"/>
  <c r="L4829" i="270"/>
  <c r="L4839" i="270"/>
  <c r="L4806" i="270"/>
  <c r="L4788" i="270"/>
  <c r="L4789" i="270"/>
  <c r="L4790" i="270"/>
  <c r="L4779" i="270"/>
  <c r="L4778" i="270"/>
  <c r="L4777" i="270"/>
  <c r="L4763" i="270"/>
  <c r="L4764" i="270"/>
  <c r="L4765" i="270"/>
  <c r="L4701" i="270"/>
  <c r="L5264" i="270"/>
  <c r="L2689" i="270"/>
  <c r="L2509" i="270"/>
  <c r="L2510" i="270"/>
  <c r="D2555" i="270"/>
  <c r="L4969" i="270"/>
  <c r="I443" i="270"/>
  <c r="L443" i="270" s="1"/>
  <c r="I442" i="270"/>
  <c r="L442" i="270" s="1"/>
  <c r="I440" i="270"/>
  <c r="F448" i="270"/>
  <c r="L448" i="270" s="1"/>
  <c r="F447" i="270"/>
  <c r="L447" i="270" s="1"/>
  <c r="F446" i="270"/>
  <c r="L446" i="270" s="1"/>
  <c r="F445" i="270"/>
  <c r="L445" i="270" s="1"/>
  <c r="F444" i="270"/>
  <c r="L444" i="270" s="1"/>
  <c r="F440" i="270"/>
  <c r="F438" i="270"/>
  <c r="L438" i="270" s="1"/>
  <c r="F437" i="270"/>
  <c r="L437" i="270" s="1"/>
  <c r="F436" i="270"/>
  <c r="L436" i="270" s="1"/>
  <c r="F435" i="270"/>
  <c r="L435" i="270" s="1"/>
  <c r="I428" i="270"/>
  <c r="L428" i="270" s="1"/>
  <c r="I427" i="270"/>
  <c r="L427" i="270" s="1"/>
  <c r="I425" i="270"/>
  <c r="F433" i="270"/>
  <c r="L433" i="270" s="1"/>
  <c r="F432" i="270"/>
  <c r="L432" i="270" s="1"/>
  <c r="F431" i="270"/>
  <c r="L431" i="270" s="1"/>
  <c r="F430" i="270"/>
  <c r="L430" i="270" s="1"/>
  <c r="F429" i="270"/>
  <c r="L429" i="270" s="1"/>
  <c r="F425" i="270"/>
  <c r="F424" i="270"/>
  <c r="L424" i="270" s="1"/>
  <c r="F423" i="270"/>
  <c r="L423" i="270" s="1"/>
  <c r="F422" i="270"/>
  <c r="L422" i="270" s="1"/>
  <c r="F421" i="270"/>
  <c r="L421" i="270" s="1"/>
  <c r="F420" i="270"/>
  <c r="L420" i="270" s="1"/>
  <c r="F419" i="270"/>
  <c r="L419" i="270" s="1"/>
  <c r="G298" i="270"/>
  <c r="F298" i="270"/>
  <c r="E298" i="270"/>
  <c r="C297" i="270"/>
  <c r="L297" i="270" s="1"/>
  <c r="H190" i="270"/>
  <c r="L190" i="270" s="1"/>
  <c r="G193" i="270"/>
  <c r="G191" i="270"/>
  <c r="D221" i="270"/>
  <c r="L221" i="270" s="1"/>
  <c r="D220" i="270"/>
  <c r="L220" i="270" s="1"/>
  <c r="D219" i="270"/>
  <c r="L219" i="270" s="1"/>
  <c r="D218" i="270"/>
  <c r="F193" i="270"/>
  <c r="D193" i="270"/>
  <c r="F191" i="270"/>
  <c r="D191" i="270"/>
  <c r="G166" i="270"/>
  <c r="F166" i="270"/>
  <c r="D166" i="270"/>
  <c r="G165" i="270"/>
  <c r="F165" i="270"/>
  <c r="D165" i="270"/>
  <c r="G164" i="270"/>
  <c r="F164" i="270"/>
  <c r="D164" i="270"/>
  <c r="G275" i="270"/>
  <c r="G273" i="270"/>
  <c r="E294" i="270"/>
  <c r="D294" i="270"/>
  <c r="D291" i="270"/>
  <c r="L291" i="270" s="1"/>
  <c r="D290" i="270"/>
  <c r="L290" i="270" s="1"/>
  <c r="D289" i="270"/>
  <c r="L289" i="270" s="1"/>
  <c r="D288" i="270"/>
  <c r="F275" i="270"/>
  <c r="D275" i="270"/>
  <c r="F273" i="270"/>
  <c r="D273" i="270"/>
  <c r="H275" i="270"/>
  <c r="H273" i="270"/>
  <c r="H272" i="270"/>
  <c r="L272" i="270" s="1"/>
  <c r="G237" i="270"/>
  <c r="D239" i="270"/>
  <c r="D238" i="270"/>
  <c r="D237" i="270"/>
  <c r="F226" i="270"/>
  <c r="E226" i="270"/>
  <c r="D226" i="270"/>
  <c r="F224" i="270"/>
  <c r="E224" i="270"/>
  <c r="C223" i="270"/>
  <c r="L223" i="270" s="1"/>
  <c r="C222" i="270"/>
  <c r="L222" i="270" s="1"/>
  <c r="L168" i="270"/>
  <c r="L169" i="270"/>
  <c r="L170" i="270"/>
  <c r="L171" i="270"/>
  <c r="L172" i="270"/>
  <c r="L173" i="270"/>
  <c r="L174" i="270"/>
  <c r="L175" i="270"/>
  <c r="L176" i="270"/>
  <c r="L177" i="270"/>
  <c r="L178" i="270"/>
  <c r="L179" i="270"/>
  <c r="L180" i="270"/>
  <c r="L181" i="270"/>
  <c r="L182" i="270"/>
  <c r="L183" i="270"/>
  <c r="L184" i="270"/>
  <c r="L185" i="270"/>
  <c r="L186" i="270"/>
  <c r="L189" i="270"/>
  <c r="L192" i="270"/>
  <c r="L194" i="270"/>
  <c r="L195" i="270"/>
  <c r="L196" i="270"/>
  <c r="L197" i="270"/>
  <c r="L198" i="270"/>
  <c r="L199" i="270"/>
  <c r="L200" i="270"/>
  <c r="L201" i="270"/>
  <c r="L202" i="270"/>
  <c r="L203" i="270"/>
  <c r="L204" i="270"/>
  <c r="L205" i="270"/>
  <c r="L206" i="270"/>
  <c r="L207" i="270"/>
  <c r="L208" i="270"/>
  <c r="L209" i="270"/>
  <c r="L210" i="270"/>
  <c r="L211" i="270"/>
  <c r="L212" i="270"/>
  <c r="L213" i="270"/>
  <c r="L214" i="270"/>
  <c r="L215" i="270"/>
  <c r="L216" i="270"/>
  <c r="L217" i="270"/>
  <c r="C5108" i="270"/>
  <c r="C4909" i="270"/>
  <c r="J4909" i="270" s="1"/>
  <c r="C4639" i="270"/>
  <c r="C4569" i="270"/>
  <c r="J4569" i="270" s="1"/>
  <c r="C4536" i="270"/>
  <c r="C4492" i="270"/>
  <c r="D4492" i="270" s="1"/>
  <c r="C4456" i="270"/>
  <c r="J4456" i="270" s="1"/>
  <c r="C4432" i="270"/>
  <c r="D4432" i="270" s="1"/>
  <c r="C4411" i="270"/>
  <c r="C4399" i="270"/>
  <c r="D4399" i="270" s="1"/>
  <c r="C4368" i="270"/>
  <c r="J4368" i="270" s="1"/>
  <c r="C4347" i="270"/>
  <c r="C4327" i="270"/>
  <c r="J4327" i="270" s="1"/>
  <c r="C4308" i="270"/>
  <c r="J4308" i="270" s="1"/>
  <c r="C4226" i="270"/>
  <c r="J4226" i="270" s="1"/>
  <c r="C3893" i="270"/>
  <c r="J3893" i="270" s="1"/>
  <c r="C3881" i="270"/>
  <c r="J3881" i="270" s="1"/>
  <c r="C3869" i="270"/>
  <c r="C3857" i="270"/>
  <c r="J3857" i="270" s="1"/>
  <c r="C3776" i="270"/>
  <c r="J3776" i="270" s="1"/>
  <c r="C3744" i="270"/>
  <c r="D3744" i="270" s="1"/>
  <c r="C3733" i="270"/>
  <c r="J3733" i="270" s="1"/>
  <c r="D3719" i="270"/>
  <c r="J3719" i="270"/>
  <c r="J3696" i="270"/>
  <c r="D3696" i="270"/>
  <c r="J3681" i="270"/>
  <c r="D3681" i="270"/>
  <c r="C3666" i="270"/>
  <c r="D3666" i="270" s="1"/>
  <c r="C3597" i="270"/>
  <c r="C3571" i="270"/>
  <c r="J3571" i="270" s="1"/>
  <c r="C3396" i="270"/>
  <c r="D3396" i="270" s="1"/>
  <c r="C3239" i="270"/>
  <c r="D3239" i="270" s="1"/>
  <c r="C2823" i="270"/>
  <c r="D2823" i="270" s="1"/>
  <c r="C2812" i="270"/>
  <c r="C2799" i="270"/>
  <c r="J2799" i="270" s="1"/>
  <c r="C2787" i="270"/>
  <c r="J2787" i="270" s="1"/>
  <c r="C2774" i="270"/>
  <c r="J2774" i="270" s="1"/>
  <c r="C2762" i="270"/>
  <c r="D2762" i="270" s="1"/>
  <c r="C2753" i="270"/>
  <c r="J2753" i="270" s="1"/>
  <c r="C2731" i="270"/>
  <c r="D2731" i="270" s="1"/>
  <c r="J2742" i="270"/>
  <c r="L2654" i="270"/>
  <c r="L2651" i="270" s="1"/>
  <c r="L2634" i="270"/>
  <c r="L2624" i="270"/>
  <c r="L2664" i="270"/>
  <c r="L2661" i="270" s="1"/>
  <c r="S304" i="269" s="1"/>
  <c r="C2695" i="270"/>
  <c r="J2695" i="270" s="1"/>
  <c r="C2682" i="270"/>
  <c r="J2682" i="270" s="1"/>
  <c r="C2671" i="270"/>
  <c r="J2671" i="270" s="1"/>
  <c r="C2661" i="270"/>
  <c r="C2651" i="270"/>
  <c r="J2651" i="270" s="1"/>
  <c r="C2641" i="270"/>
  <c r="C2631" i="270"/>
  <c r="J2631" i="270" s="1"/>
  <c r="C2621" i="270"/>
  <c r="J2621" i="270" s="1"/>
  <c r="C2610" i="270"/>
  <c r="D2610" i="270" s="1"/>
  <c r="C2599" i="270"/>
  <c r="D2599" i="270" s="1"/>
  <c r="C2588" i="270"/>
  <c r="J2588" i="270" s="1"/>
  <c r="C2577" i="270"/>
  <c r="J2577" i="270" s="1"/>
  <c r="C2566" i="270"/>
  <c r="J2566" i="270" s="1"/>
  <c r="C2555" i="270"/>
  <c r="J2555" i="270" s="1"/>
  <c r="C2543" i="270"/>
  <c r="J2543" i="270" s="1"/>
  <c r="C2531" i="270"/>
  <c r="J2531" i="270" s="1"/>
  <c r="C2518" i="270"/>
  <c r="D2518" i="270" s="1"/>
  <c r="C2503" i="270"/>
  <c r="J2503" i="270" s="1"/>
  <c r="C2491" i="270"/>
  <c r="C2479" i="270"/>
  <c r="D2479" i="270" s="1"/>
  <c r="C2466" i="270"/>
  <c r="C2453" i="270"/>
  <c r="J2453" i="270" s="1"/>
  <c r="C2439" i="270"/>
  <c r="C2427" i="270"/>
  <c r="J2427" i="270" s="1"/>
  <c r="C2418" i="270"/>
  <c r="D2418" i="270" s="1"/>
  <c r="C2407" i="270"/>
  <c r="C2396" i="270"/>
  <c r="J2396" i="270" s="1"/>
  <c r="C2383" i="270"/>
  <c r="J2383" i="270" s="1"/>
  <c r="C2372" i="270"/>
  <c r="C2359" i="270"/>
  <c r="J2359" i="270" s="1"/>
  <c r="C2348" i="270"/>
  <c r="J2348" i="270" s="1"/>
  <c r="C2337" i="270"/>
  <c r="C2325" i="270"/>
  <c r="D2325" i="270" s="1"/>
  <c r="C2312" i="270"/>
  <c r="D2312" i="270" s="1"/>
  <c r="C2299" i="270"/>
  <c r="C2287" i="270"/>
  <c r="C2275" i="270"/>
  <c r="C2262" i="270"/>
  <c r="C2250" i="270"/>
  <c r="J2250" i="270" s="1"/>
  <c r="C2238" i="270"/>
  <c r="D2238" i="270" s="1"/>
  <c r="C2226" i="270"/>
  <c r="J2226" i="270" s="1"/>
  <c r="C2213" i="270"/>
  <c r="D2213" i="270" s="1"/>
  <c r="C2201" i="270"/>
  <c r="C2190" i="270"/>
  <c r="J2190" i="270" s="1"/>
  <c r="C2178" i="270"/>
  <c r="C2166" i="270"/>
  <c r="J2166" i="270" s="1"/>
  <c r="C2154" i="270"/>
  <c r="D2154" i="270" s="1"/>
  <c r="C2142" i="270"/>
  <c r="C2129" i="270"/>
  <c r="C2061" i="270"/>
  <c r="D2061" i="270" s="1"/>
  <c r="C2046" i="270"/>
  <c r="D2046" i="270" s="1"/>
  <c r="C1957" i="270"/>
  <c r="J1957" i="270" s="1"/>
  <c r="C1911" i="270"/>
  <c r="C1861" i="270"/>
  <c r="D1861" i="270" s="1"/>
  <c r="C1807" i="270"/>
  <c r="C1775" i="270"/>
  <c r="C1756" i="270"/>
  <c r="J1756" i="270" s="1"/>
  <c r="C1744" i="270"/>
  <c r="D1744" i="270" s="1"/>
  <c r="C1707" i="270"/>
  <c r="J1707" i="270" s="1"/>
  <c r="C1682" i="270"/>
  <c r="C1659" i="270"/>
  <c r="D1659" i="270" s="1"/>
  <c r="C1644" i="270"/>
  <c r="D1644" i="270" s="1"/>
  <c r="C1632" i="270"/>
  <c r="C1619" i="270"/>
  <c r="D1619" i="270" s="1"/>
  <c r="C1600" i="270"/>
  <c r="J1600" i="270" s="1"/>
  <c r="C1583" i="270"/>
  <c r="C1566" i="270"/>
  <c r="C1555" i="270"/>
  <c r="J1555" i="270" s="1"/>
  <c r="C1535" i="270"/>
  <c r="J1535" i="270" s="1"/>
  <c r="C1514" i="270"/>
  <c r="C1501" i="270"/>
  <c r="D1501" i="270" s="1"/>
  <c r="C1482" i="270"/>
  <c r="J1482" i="270" s="1"/>
  <c r="C1459" i="270"/>
  <c r="J1459" i="270" s="1"/>
  <c r="C1441" i="270"/>
  <c r="D1441" i="270" s="1"/>
  <c r="C1424" i="270"/>
  <c r="D1424" i="270" s="1"/>
  <c r="C1408" i="270"/>
  <c r="C1385" i="270"/>
  <c r="J1385" i="270" s="1"/>
  <c r="C1370" i="270"/>
  <c r="C1359" i="270"/>
  <c r="J1359" i="270" s="1"/>
  <c r="C1319" i="270"/>
  <c r="J1319" i="270" s="1"/>
  <c r="C1306" i="270"/>
  <c r="J1306" i="270" s="1"/>
  <c r="C1259" i="270"/>
  <c r="C1210" i="270"/>
  <c r="C1197" i="270"/>
  <c r="D1197" i="270" s="1"/>
  <c r="C1184" i="270"/>
  <c r="J1184" i="270" s="1"/>
  <c r="C1172" i="270"/>
  <c r="C1157" i="270"/>
  <c r="D1157" i="270" s="1"/>
  <c r="C1145" i="270"/>
  <c r="J1145" i="270" s="1"/>
  <c r="C1133" i="270"/>
  <c r="D1133" i="270" s="1"/>
  <c r="C1121" i="270"/>
  <c r="D1121" i="270" s="1"/>
  <c r="C1107" i="270"/>
  <c r="J1107" i="270" s="1"/>
  <c r="C1095" i="270"/>
  <c r="J1095" i="270" s="1"/>
  <c r="C1083" i="270"/>
  <c r="C1071" i="270"/>
  <c r="C1058" i="270"/>
  <c r="D1058" i="270" s="1"/>
  <c r="C1046" i="270"/>
  <c r="C1033" i="270"/>
  <c r="J1033" i="270" s="1"/>
  <c r="C1021" i="270"/>
  <c r="J1021" i="270" s="1"/>
  <c r="C1003" i="270"/>
  <c r="C992" i="270"/>
  <c r="D992" i="270" s="1"/>
  <c r="C979" i="270"/>
  <c r="J979" i="270" s="1"/>
  <c r="C961" i="270"/>
  <c r="J961" i="270" s="1"/>
  <c r="C948" i="270"/>
  <c r="D948" i="270" s="1"/>
  <c r="C932" i="270"/>
  <c r="J932" i="270" s="1"/>
  <c r="C874" i="270"/>
  <c r="J874" i="270" s="1"/>
  <c r="C842" i="270"/>
  <c r="C764" i="270"/>
  <c r="C686" i="270"/>
  <c r="J686" i="270" s="1"/>
  <c r="C625" i="270"/>
  <c r="J625" i="270" s="1"/>
  <c r="C587" i="270"/>
  <c r="J587" i="270" s="1"/>
  <c r="C504" i="270"/>
  <c r="C489" i="270"/>
  <c r="J489" i="270" s="1"/>
  <c r="J474" i="270"/>
  <c r="C461" i="270"/>
  <c r="D461" i="270" s="1"/>
  <c r="C415" i="270"/>
  <c r="J415" i="270" s="1"/>
  <c r="C156" i="270"/>
  <c r="J156" i="270" s="1"/>
  <c r="C143" i="270"/>
  <c r="J143" i="270" s="1"/>
  <c r="C131" i="270"/>
  <c r="C119" i="270"/>
  <c r="C100" i="270"/>
  <c r="J100" i="270" s="1"/>
  <c r="C84" i="270"/>
  <c r="D84" i="270" s="1"/>
  <c r="C71" i="270"/>
  <c r="C59" i="270"/>
  <c r="C47" i="270"/>
  <c r="D47" i="270" s="1"/>
  <c r="C35" i="270"/>
  <c r="J35" i="270" s="1"/>
  <c r="C22" i="270"/>
  <c r="J22" i="270" s="1"/>
  <c r="C10" i="270"/>
  <c r="L4952" i="270"/>
  <c r="L4953" i="270"/>
  <c r="L4954" i="270"/>
  <c r="L4955" i="270"/>
  <c r="L4956" i="270"/>
  <c r="L4957" i="270"/>
  <c r="L4958" i="270"/>
  <c r="L4964" i="270"/>
  <c r="L4965" i="270"/>
  <c r="L4972" i="270"/>
  <c r="L4985" i="270"/>
  <c r="L4998" i="270"/>
  <c r="L5049" i="270"/>
  <c r="L5061" i="270"/>
  <c r="L5088" i="270"/>
  <c r="L5085" i="270" s="1"/>
  <c r="S641" i="269" s="1"/>
  <c r="L5100" i="270"/>
  <c r="L5102" i="270"/>
  <c r="L5125" i="270"/>
  <c r="L5122" i="270" s="1"/>
  <c r="S644" i="269" s="1"/>
  <c r="L5136" i="270"/>
  <c r="L5133" i="270" s="1"/>
  <c r="S645" i="269" s="1"/>
  <c r="L5147" i="270"/>
  <c r="L5144" i="270" s="1"/>
  <c r="S646" i="269" s="1"/>
  <c r="M646" i="269" s="1"/>
  <c r="O646" i="269" s="1"/>
  <c r="L5158" i="270"/>
  <c r="L5155" i="270" s="1"/>
  <c r="S647" i="269" s="1"/>
  <c r="I5169" i="270"/>
  <c r="L5169" i="270" s="1"/>
  <c r="L5170" i="270"/>
  <c r="L5171" i="270"/>
  <c r="L5180" i="270"/>
  <c r="L5181" i="270"/>
  <c r="L5232" i="270"/>
  <c r="L5229" i="270" s="1"/>
  <c r="S654" i="269" s="1"/>
  <c r="M654" i="269" s="1"/>
  <c r="O654" i="269" s="1"/>
  <c r="L5242" i="270"/>
  <c r="L5239" i="270" s="1"/>
  <c r="S655" i="269" s="1"/>
  <c r="L5252" i="270"/>
  <c r="L5249" i="270" s="1"/>
  <c r="S656" i="269" s="1"/>
  <c r="L2734" i="270"/>
  <c r="L2731" i="270" s="1"/>
  <c r="S379" i="269" s="1"/>
  <c r="L2756" i="270"/>
  <c r="L2765" i="270"/>
  <c r="L2766" i="270"/>
  <c r="L2777" i="270"/>
  <c r="L2774" i="270" s="1"/>
  <c r="S383" i="269" s="1"/>
  <c r="L2790" i="270"/>
  <c r="L2787" i="270" s="1"/>
  <c r="S384" i="269" s="1"/>
  <c r="L2802" i="270"/>
  <c r="L2803" i="270"/>
  <c r="L2804" i="270"/>
  <c r="L2815" i="270"/>
  <c r="L2812" i="270" s="1"/>
  <c r="S386" i="269" s="1"/>
  <c r="F3324" i="270"/>
  <c r="L3324" i="270" s="1"/>
  <c r="F3325" i="270"/>
  <c r="L3325" i="270" s="1"/>
  <c r="F3326" i="270"/>
  <c r="L3326" i="270" s="1"/>
  <c r="L3327" i="270"/>
  <c r="L3575" i="270"/>
  <c r="L3576" i="270"/>
  <c r="L3577" i="270"/>
  <c r="L3578" i="270"/>
  <c r="L3582" i="270"/>
  <c r="L3583" i="270"/>
  <c r="L3584" i="270"/>
  <c r="F3601" i="270"/>
  <c r="L3601" i="270" s="1"/>
  <c r="L3602" i="270"/>
  <c r="L3603" i="270"/>
  <c r="L3604" i="270"/>
  <c r="F3605" i="270"/>
  <c r="L3605" i="270" s="1"/>
  <c r="L3606" i="270"/>
  <c r="L3609" i="270"/>
  <c r="L3610" i="270"/>
  <c r="L3611" i="270"/>
  <c r="L3612" i="270"/>
  <c r="F3613" i="270"/>
  <c r="L3613" i="270" s="1"/>
  <c r="L3614" i="270"/>
  <c r="L3685" i="270"/>
  <c r="L3688" i="270"/>
  <c r="L3713" i="270"/>
  <c r="L3700" i="270"/>
  <c r="L3703" i="270"/>
  <c r="L3722" i="270"/>
  <c r="L3723" i="270"/>
  <c r="L3736" i="270"/>
  <c r="L3737" i="270"/>
  <c r="L3748" i="270"/>
  <c r="L3749" i="270"/>
  <c r="L3751" i="270"/>
  <c r="L3752" i="270"/>
  <c r="L3753" i="270"/>
  <c r="L3791" i="270"/>
  <c r="L3792" i="270"/>
  <c r="L3872" i="270"/>
  <c r="F3873" i="270"/>
  <c r="L3873" i="270" s="1"/>
  <c r="L3884" i="270"/>
  <c r="L3885" i="270"/>
  <c r="L3896" i="270"/>
  <c r="L3897" i="270"/>
  <c r="L3909" i="270"/>
  <c r="L3910" i="270"/>
  <c r="L3921" i="270"/>
  <c r="L3922" i="270"/>
  <c r="L3924" i="270"/>
  <c r="L3925" i="270"/>
  <c r="L3936" i="270"/>
  <c r="L3937" i="270"/>
  <c r="L3938" i="270"/>
  <c r="L3939" i="270"/>
  <c r="L3942" i="270"/>
  <c r="L3943" i="270"/>
  <c r="L3944" i="270"/>
  <c r="L3945" i="270"/>
  <c r="F3947" i="270"/>
  <c r="L3947" i="270" s="1"/>
  <c r="L3949" i="270"/>
  <c r="L3950" i="270"/>
  <c r="L3951" i="270"/>
  <c r="L3952" i="270"/>
  <c r="L3967" i="270"/>
  <c r="L3968" i="270"/>
  <c r="L3969" i="270"/>
  <c r="L3970" i="270"/>
  <c r="L3973" i="270"/>
  <c r="L3974" i="270"/>
  <c r="L3975" i="270"/>
  <c r="L3976" i="270"/>
  <c r="F3978" i="270"/>
  <c r="L3978" i="270" s="1"/>
  <c r="L3980" i="270"/>
  <c r="L3981" i="270"/>
  <c r="L3982" i="270"/>
  <c r="L3983" i="270"/>
  <c r="L3985" i="270"/>
  <c r="L3986" i="270"/>
  <c r="L3988" i="270"/>
  <c r="L3989" i="270"/>
  <c r="L4005" i="270"/>
  <c r="L4006" i="270"/>
  <c r="F4007" i="270"/>
  <c r="L4007" i="270" s="1"/>
  <c r="L4008" i="270"/>
  <c r="L4020" i="270"/>
  <c r="L4021" i="270"/>
  <c r="L4022" i="270"/>
  <c r="L4023" i="270"/>
  <c r="L4026" i="270"/>
  <c r="L4027" i="270"/>
  <c r="F4029" i="270"/>
  <c r="L4029" i="270" s="1"/>
  <c r="L4031" i="270"/>
  <c r="L4032" i="270"/>
  <c r="L4033" i="270"/>
  <c r="L4050" i="270"/>
  <c r="L4060" i="270"/>
  <c r="S431" i="269" s="1"/>
  <c r="N431" i="269" s="1"/>
  <c r="P431" i="269" s="1"/>
  <c r="L4100" i="270"/>
  <c r="L4148" i="270"/>
  <c r="L4153" i="270"/>
  <c r="L4200" i="270"/>
  <c r="L4212" i="270"/>
  <c r="L4216" i="270"/>
  <c r="L4219" i="270"/>
  <c r="L4229" i="270"/>
  <c r="L4226" i="270" s="1"/>
  <c r="I684" i="269" s="1"/>
  <c r="M684" i="269" s="1"/>
  <c r="O684" i="269" s="1"/>
  <c r="L4242" i="270"/>
  <c r="L4245" i="270"/>
  <c r="L4255" i="270"/>
  <c r="L4269" i="270"/>
  <c r="L4273" i="270"/>
  <c r="L4276" i="270"/>
  <c r="L4283" i="270"/>
  <c r="L4299" i="270"/>
  <c r="L4300" i="270"/>
  <c r="L4311" i="270"/>
  <c r="L4313" i="270"/>
  <c r="L4315" i="270"/>
  <c r="L4316" i="270"/>
  <c r="L4317" i="270"/>
  <c r="L4331" i="270"/>
  <c r="L4332" i="270"/>
  <c r="L4337" i="270"/>
  <c r="L4338" i="270"/>
  <c r="L4351" i="270"/>
  <c r="L4352" i="270"/>
  <c r="L4357" i="270"/>
  <c r="L4358" i="270"/>
  <c r="L4372" i="270"/>
  <c r="L4373" i="270"/>
  <c r="L4378" i="270"/>
  <c r="L4379" i="270"/>
  <c r="L4402" i="270"/>
  <c r="L4403" i="270"/>
  <c r="L4416" i="270"/>
  <c r="L4417" i="270"/>
  <c r="L4418" i="270"/>
  <c r="L4419" i="270"/>
  <c r="L4437" i="270"/>
  <c r="L4438" i="270"/>
  <c r="L4439" i="270"/>
  <c r="F4440" i="270"/>
  <c r="L4440" i="270" s="1"/>
  <c r="L4441" i="270"/>
  <c r="L4442" i="270"/>
  <c r="L4444" i="270"/>
  <c r="L4445" i="270"/>
  <c r="L4446" i="270"/>
  <c r="F4459" i="270"/>
  <c r="L4459" i="270" s="1"/>
  <c r="L4460" i="270"/>
  <c r="L4461" i="270"/>
  <c r="F4462" i="270"/>
  <c r="L4462" i="270" s="1"/>
  <c r="L4463" i="270"/>
  <c r="L4464" i="270"/>
  <c r="L4470" i="270"/>
  <c r="L4471" i="270"/>
  <c r="L4472" i="270"/>
  <c r="L4473" i="270"/>
  <c r="L4477" i="270"/>
  <c r="L4478" i="270"/>
  <c r="L4479" i="270"/>
  <c r="L4480" i="270"/>
  <c r="L4483" i="270"/>
  <c r="L4484" i="270"/>
  <c r="L4485" i="270"/>
  <c r="L4486" i="270"/>
  <c r="L4495" i="270"/>
  <c r="L4496" i="270"/>
  <c r="L4497" i="270"/>
  <c r="L4498" i="270"/>
  <c r="L4499" i="270"/>
  <c r="L4500" i="270"/>
  <c r="L4501" i="270"/>
  <c r="L4502" i="270"/>
  <c r="L4508" i="270"/>
  <c r="L4509" i="270"/>
  <c r="L4510" i="270"/>
  <c r="L4511" i="270"/>
  <c r="L4514" i="270"/>
  <c r="L4515" i="270"/>
  <c r="L4516" i="270"/>
  <c r="L4517" i="270"/>
  <c r="L4520" i="270"/>
  <c r="L4521" i="270"/>
  <c r="L4522" i="270"/>
  <c r="L4523" i="270"/>
  <c r="F4525" i="270"/>
  <c r="L4525" i="270" s="1"/>
  <c r="L4527" i="270"/>
  <c r="L4528" i="270"/>
  <c r="L4530" i="270"/>
  <c r="L4541" i="270"/>
  <c r="L4542" i="270"/>
  <c r="L4543" i="270"/>
  <c r="L4544" i="270"/>
  <c r="L4545" i="270"/>
  <c r="L4546" i="270"/>
  <c r="L4549" i="270"/>
  <c r="L4550" i="270"/>
  <c r="L4551" i="270"/>
  <c r="L4557" i="270"/>
  <c r="L4558" i="270"/>
  <c r="L4559" i="270"/>
  <c r="L4561" i="270"/>
  <c r="L4562" i="270"/>
  <c r="L4563" i="270"/>
  <c r="L4573" i="270"/>
  <c r="L4574" i="270"/>
  <c r="L4582" i="270"/>
  <c r="L4583" i="270"/>
  <c r="L4584" i="270"/>
  <c r="L4585" i="270"/>
  <c r="L4588" i="270"/>
  <c r="L4589" i="270"/>
  <c r="L4590" i="270"/>
  <c r="L4591" i="270"/>
  <c r="L4594" i="270"/>
  <c r="L4595" i="270"/>
  <c r="L4596" i="270"/>
  <c r="L4597" i="270"/>
  <c r="F4604" i="270"/>
  <c r="L4604" i="270" s="1"/>
  <c r="L4605" i="270"/>
  <c r="L4606" i="270"/>
  <c r="F4607" i="270"/>
  <c r="L4607" i="270" s="1"/>
  <c r="L4608" i="270"/>
  <c r="L4609" i="270"/>
  <c r="L4610" i="270"/>
  <c r="L4611" i="270"/>
  <c r="L4616" i="270"/>
  <c r="L4617" i="270"/>
  <c r="L4618" i="270"/>
  <c r="L4619" i="270"/>
  <c r="L4623" i="270"/>
  <c r="L4624" i="270"/>
  <c r="L4625" i="270"/>
  <c r="L4626" i="270"/>
  <c r="L4630" i="270"/>
  <c r="L4631" i="270"/>
  <c r="L4632" i="270"/>
  <c r="L4633" i="270"/>
  <c r="F4643" i="270"/>
  <c r="L4643" i="270" s="1"/>
  <c r="L4644" i="270"/>
  <c r="L4645" i="270"/>
  <c r="F4646" i="270"/>
  <c r="L4646" i="270" s="1"/>
  <c r="L4647" i="270"/>
  <c r="L4648" i="270"/>
  <c r="F4653" i="270"/>
  <c r="L4653" i="270" s="1"/>
  <c r="F4654" i="270"/>
  <c r="L4654" i="270" s="1"/>
  <c r="L4655" i="270"/>
  <c r="F4658" i="270"/>
  <c r="L4658" i="270" s="1"/>
  <c r="F4659" i="270"/>
  <c r="L4659" i="270" s="1"/>
  <c r="F4660" i="270"/>
  <c r="L4660" i="270" s="1"/>
  <c r="L4667" i="270"/>
  <c r="L4668" i="270"/>
  <c r="L4669" i="270"/>
  <c r="L4677" i="270"/>
  <c r="L4678" i="270"/>
  <c r="L4681" i="270"/>
  <c r="L4682" i="270"/>
  <c r="L4683" i="270"/>
  <c r="L4684" i="270"/>
  <c r="L4685" i="270"/>
  <c r="L4686" i="270"/>
  <c r="L4699" i="270"/>
  <c r="L4700" i="270"/>
  <c r="L4702" i="270"/>
  <c r="L4711" i="270"/>
  <c r="L4712" i="270"/>
  <c r="L4723" i="270"/>
  <c r="L4724" i="270"/>
  <c r="L4735" i="270"/>
  <c r="L4737" i="270"/>
  <c r="L4747" i="270"/>
  <c r="L4761" i="270"/>
  <c r="L4773" i="270"/>
  <c r="L4775" i="270"/>
  <c r="L4787" i="270"/>
  <c r="L4801" i="270"/>
  <c r="L4802" i="270"/>
  <c r="L4803" i="270"/>
  <c r="L4804" i="270"/>
  <c r="L4805" i="270"/>
  <c r="L4813" i="270"/>
  <c r="L4816" i="270"/>
  <c r="L4817" i="270"/>
  <c r="L4825" i="270"/>
  <c r="L4826" i="270"/>
  <c r="L4827" i="270"/>
  <c r="L4828" i="270"/>
  <c r="L4837" i="270"/>
  <c r="L4838" i="270"/>
  <c r="L4849" i="270"/>
  <c r="L4850" i="270"/>
  <c r="L4861" i="270"/>
  <c r="L4862" i="270"/>
  <c r="L4874" i="270"/>
  <c r="L4875" i="270"/>
  <c r="L4879" i="270"/>
  <c r="L4880" i="270"/>
  <c r="L4888" i="270"/>
  <c r="L4889" i="270"/>
  <c r="L4912" i="270"/>
  <c r="L4913" i="270"/>
  <c r="L4917" i="270"/>
  <c r="L4918" i="270"/>
  <c r="L4926" i="270"/>
  <c r="L4927" i="270"/>
  <c r="L4938" i="270"/>
  <c r="L4935" i="270" s="1"/>
  <c r="S563" i="269" s="1"/>
  <c r="N563" i="269" s="1"/>
  <c r="P563" i="269" s="1"/>
  <c r="L5262" i="270"/>
  <c r="L5263" i="270"/>
  <c r="L5265" i="270"/>
  <c r="L5275" i="270"/>
  <c r="L5276" i="270"/>
  <c r="L2443" i="270"/>
  <c r="L2444" i="270"/>
  <c r="L2445" i="270"/>
  <c r="L2446" i="270"/>
  <c r="L2456" i="270"/>
  <c r="L2458" i="270"/>
  <c r="L2469" i="270"/>
  <c r="L2470" i="270"/>
  <c r="L2494" i="270"/>
  <c r="L2491" i="270" s="1"/>
  <c r="S289" i="269" s="1"/>
  <c r="N289" i="269" s="1"/>
  <c r="P289" i="269" s="1"/>
  <c r="L2506" i="270"/>
  <c r="L2507" i="270"/>
  <c r="L2508" i="270"/>
  <c r="L2522" i="270"/>
  <c r="L2518" i="270" s="1"/>
  <c r="S291" i="269" s="1"/>
  <c r="N291" i="269" s="1"/>
  <c r="P291" i="269" s="1"/>
  <c r="L2536" i="270"/>
  <c r="L2546" i="270"/>
  <c r="L2547" i="270"/>
  <c r="L2548" i="270"/>
  <c r="L2569" i="270"/>
  <c r="L2566" i="270" s="1"/>
  <c r="S295" i="269" s="1"/>
  <c r="L2580" i="270"/>
  <c r="L2577" i="270" s="1"/>
  <c r="S296" i="269" s="1"/>
  <c r="L2591" i="270"/>
  <c r="L2588" i="270" s="1"/>
  <c r="S297" i="269" s="1"/>
  <c r="L2613" i="270"/>
  <c r="L2614" i="270"/>
  <c r="L2674" i="270"/>
  <c r="L2671" i="270" s="1"/>
  <c r="S305" i="269" s="1"/>
  <c r="L62" i="270"/>
  <c r="L63" i="270"/>
  <c r="L74" i="270"/>
  <c r="L71" i="270" s="1"/>
  <c r="S26" i="269" s="1"/>
  <c r="N26" i="269" s="1"/>
  <c r="P26" i="269" s="1"/>
  <c r="L87" i="270"/>
  <c r="L88" i="270"/>
  <c r="L89" i="270"/>
  <c r="F103" i="270"/>
  <c r="L103" i="270" s="1"/>
  <c r="L104" i="270"/>
  <c r="L105" i="270"/>
  <c r="L106" i="270"/>
  <c r="L107" i="270"/>
  <c r="L134" i="270"/>
  <c r="L135" i="270"/>
  <c r="L136" i="270"/>
  <c r="L146" i="270"/>
  <c r="L147" i="270"/>
  <c r="L148" i="270"/>
  <c r="E160" i="270"/>
  <c r="L160" i="270" s="1"/>
  <c r="E161" i="270"/>
  <c r="L161" i="270" s="1"/>
  <c r="E162" i="270"/>
  <c r="L162" i="270" s="1"/>
  <c r="I218" i="270"/>
  <c r="I224" i="270"/>
  <c r="C225" i="270"/>
  <c r="L225" i="270" s="1"/>
  <c r="E229" i="270"/>
  <c r="L229" i="270" s="1"/>
  <c r="E230" i="270"/>
  <c r="L230" i="270" s="1"/>
  <c r="E231" i="270"/>
  <c r="L231" i="270" s="1"/>
  <c r="E232" i="270"/>
  <c r="L232" i="270" s="1"/>
  <c r="E233" i="270"/>
  <c r="L233" i="270" s="1"/>
  <c r="E234" i="270"/>
  <c r="L234" i="270" s="1"/>
  <c r="G238" i="270"/>
  <c r="G239" i="270"/>
  <c r="L241" i="270"/>
  <c r="L242" i="270"/>
  <c r="L243" i="270"/>
  <c r="L244" i="270"/>
  <c r="L245" i="270"/>
  <c r="L246" i="270"/>
  <c r="L247" i="270"/>
  <c r="L248" i="270"/>
  <c r="L249" i="270"/>
  <c r="L250" i="270"/>
  <c r="L251" i="270"/>
  <c r="L252" i="270"/>
  <c r="L253" i="270"/>
  <c r="L254" i="270"/>
  <c r="L255" i="270"/>
  <c r="L256" i="270"/>
  <c r="L257" i="270"/>
  <c r="L258" i="270"/>
  <c r="L259" i="270"/>
  <c r="L260" i="270"/>
  <c r="L261" i="270"/>
  <c r="L262" i="270"/>
  <c r="L263" i="270"/>
  <c r="L264" i="270"/>
  <c r="L265" i="270"/>
  <c r="L266" i="270"/>
  <c r="L267" i="270"/>
  <c r="L270" i="270"/>
  <c r="L271" i="270"/>
  <c r="L274" i="270"/>
  <c r="L276" i="270"/>
  <c r="L277" i="270"/>
  <c r="L278" i="270"/>
  <c r="L279" i="270"/>
  <c r="L280" i="270"/>
  <c r="L281" i="270"/>
  <c r="L282" i="270"/>
  <c r="L283" i="270"/>
  <c r="L284" i="270"/>
  <c r="L285" i="270"/>
  <c r="L286" i="270"/>
  <c r="L287" i="270"/>
  <c r="I288" i="270"/>
  <c r="C292" i="270"/>
  <c r="L292" i="270" s="1"/>
  <c r="C293" i="270"/>
  <c r="L293" i="270" s="1"/>
  <c r="I294" i="270"/>
  <c r="E302" i="270"/>
  <c r="L302" i="270" s="1"/>
  <c r="E303" i="270"/>
  <c r="L303" i="270" s="1"/>
  <c r="E304" i="270"/>
  <c r="L304" i="270" s="1"/>
  <c r="D307" i="270"/>
  <c r="E307" i="270"/>
  <c r="F307" i="270"/>
  <c r="D308" i="270"/>
  <c r="G308" i="270"/>
  <c r="H308" i="270"/>
  <c r="L311" i="270"/>
  <c r="L312" i="270"/>
  <c r="L313" i="270"/>
  <c r="E314" i="270"/>
  <c r="F314" i="270"/>
  <c r="L317" i="270"/>
  <c r="L318" i="270"/>
  <c r="L319" i="270"/>
  <c r="L320" i="270"/>
  <c r="L321" i="270"/>
  <c r="L322" i="270"/>
  <c r="L323" i="270"/>
  <c r="C324" i="270"/>
  <c r="L324" i="270" s="1"/>
  <c r="C325" i="270"/>
  <c r="L325" i="270" s="1"/>
  <c r="L333" i="270"/>
  <c r="L418" i="270"/>
  <c r="L426" i="270"/>
  <c r="L439" i="270"/>
  <c r="L441" i="270"/>
  <c r="L492" i="270"/>
  <c r="F493" i="270"/>
  <c r="L493" i="270" s="1"/>
  <c r="F494" i="270"/>
  <c r="L494" i="270" s="1"/>
  <c r="F495" i="270"/>
  <c r="L495" i="270" s="1"/>
  <c r="F496" i="270"/>
  <c r="L496" i="270" s="1"/>
  <c r="F510" i="270"/>
  <c r="L510" i="270" s="1"/>
  <c r="L511" i="270"/>
  <c r="F512" i="270"/>
  <c r="L512" i="270" s="1"/>
  <c r="L513" i="270"/>
  <c r="F520" i="270"/>
  <c r="L520" i="270" s="1"/>
  <c r="F521" i="270"/>
  <c r="L521" i="270" s="1"/>
  <c r="F522" i="270"/>
  <c r="L522" i="270" s="1"/>
  <c r="F523" i="270"/>
  <c r="L523" i="270" s="1"/>
  <c r="L524" i="270"/>
  <c r="F525" i="270"/>
  <c r="L525" i="270" s="1"/>
  <c r="L526" i="270"/>
  <c r="F527" i="270"/>
  <c r="L527" i="270" s="1"/>
  <c r="F528" i="270"/>
  <c r="L528" i="270" s="1"/>
  <c r="F529" i="270"/>
  <c r="L529" i="270" s="1"/>
  <c r="F530" i="270"/>
  <c r="L530" i="270" s="1"/>
  <c r="L531" i="270"/>
  <c r="F541" i="270"/>
  <c r="L541" i="270" s="1"/>
  <c r="L542" i="270"/>
  <c r="F543" i="270"/>
  <c r="L543" i="270" s="1"/>
  <c r="F544" i="270"/>
  <c r="L544" i="270" s="1"/>
  <c r="L545" i="270"/>
  <c r="L546" i="270"/>
  <c r="L547" i="270"/>
  <c r="F548" i="270"/>
  <c r="L548" i="270" s="1"/>
  <c r="F549" i="270"/>
  <c r="L549" i="270" s="1"/>
  <c r="F550" i="270"/>
  <c r="L550" i="270" s="1"/>
  <c r="F551" i="270"/>
  <c r="L551" i="270" s="1"/>
  <c r="F552" i="270"/>
  <c r="L552" i="270" s="1"/>
  <c r="F553" i="270"/>
  <c r="L553" i="270" s="1"/>
  <c r="F554" i="270"/>
  <c r="L554" i="270" s="1"/>
  <c r="L555" i="270"/>
  <c r="L556" i="270"/>
  <c r="L557" i="270"/>
  <c r="L558" i="270"/>
  <c r="L559" i="270"/>
  <c r="L560" i="270"/>
  <c r="L561" i="270"/>
  <c r="F567" i="270"/>
  <c r="L567" i="270" s="1"/>
  <c r="F568" i="270"/>
  <c r="L568" i="270" s="1"/>
  <c r="L571" i="270"/>
  <c r="L592" i="270"/>
  <c r="L595" i="270"/>
  <c r="L596" i="270"/>
  <c r="L597" i="270"/>
  <c r="L600" i="270"/>
  <c r="F629" i="270"/>
  <c r="L629" i="270" s="1"/>
  <c r="L630" i="270"/>
  <c r="F631" i="270"/>
  <c r="L631" i="270" s="1"/>
  <c r="L632" i="270"/>
  <c r="F635" i="270"/>
  <c r="L635" i="270" s="1"/>
  <c r="F636" i="270"/>
  <c r="L636" i="270" s="1"/>
  <c r="F637" i="270"/>
  <c r="L637" i="270" s="1"/>
  <c r="F638" i="270"/>
  <c r="L638" i="270" s="1"/>
  <c r="L639" i="270"/>
  <c r="F640" i="270"/>
  <c r="L640" i="270" s="1"/>
  <c r="L641" i="270"/>
  <c r="F642" i="270"/>
  <c r="L642" i="270" s="1"/>
  <c r="F643" i="270"/>
  <c r="L643" i="270" s="1"/>
  <c r="F644" i="270"/>
  <c r="L644" i="270" s="1"/>
  <c r="F645" i="270"/>
  <c r="L645" i="270" s="1"/>
  <c r="L646" i="270"/>
  <c r="F650" i="270"/>
  <c r="L650" i="270" s="1"/>
  <c r="L651" i="270"/>
  <c r="F652" i="270"/>
  <c r="L652" i="270" s="1"/>
  <c r="F653" i="270"/>
  <c r="L653" i="270" s="1"/>
  <c r="L654" i="270"/>
  <c r="L655" i="270"/>
  <c r="L656" i="270"/>
  <c r="F657" i="270"/>
  <c r="L657" i="270" s="1"/>
  <c r="F658" i="270"/>
  <c r="L658" i="270" s="1"/>
  <c r="F659" i="270"/>
  <c r="L659" i="270" s="1"/>
  <c r="F660" i="270"/>
  <c r="L660" i="270" s="1"/>
  <c r="F661" i="270"/>
  <c r="L661" i="270" s="1"/>
  <c r="F662" i="270"/>
  <c r="L662" i="270" s="1"/>
  <c r="F663" i="270"/>
  <c r="L663" i="270" s="1"/>
  <c r="L664" i="270"/>
  <c r="L665" i="270"/>
  <c r="L666" i="270"/>
  <c r="L667" i="270"/>
  <c r="L668" i="270"/>
  <c r="L669" i="270"/>
  <c r="L670" i="270"/>
  <c r="F673" i="270"/>
  <c r="L673" i="270" s="1"/>
  <c r="F692" i="270"/>
  <c r="L692" i="270" s="1"/>
  <c r="L693" i="270"/>
  <c r="F694" i="270"/>
  <c r="L694" i="270" s="1"/>
  <c r="L695" i="270"/>
  <c r="F702" i="270"/>
  <c r="L702" i="270" s="1"/>
  <c r="F703" i="270"/>
  <c r="L703" i="270" s="1"/>
  <c r="F704" i="270"/>
  <c r="L704" i="270" s="1"/>
  <c r="F705" i="270"/>
  <c r="L705" i="270" s="1"/>
  <c r="L706" i="270"/>
  <c r="F707" i="270"/>
  <c r="L707" i="270" s="1"/>
  <c r="L708" i="270"/>
  <c r="F709" i="270"/>
  <c r="L709" i="270" s="1"/>
  <c r="F710" i="270"/>
  <c r="L710" i="270" s="1"/>
  <c r="F711" i="270"/>
  <c r="L711" i="270" s="1"/>
  <c r="F712" i="270"/>
  <c r="L712" i="270" s="1"/>
  <c r="L713" i="270"/>
  <c r="F723" i="270"/>
  <c r="L723" i="270" s="1"/>
  <c r="L724" i="270"/>
  <c r="F725" i="270"/>
  <c r="L725" i="270" s="1"/>
  <c r="F726" i="270"/>
  <c r="L726" i="270" s="1"/>
  <c r="L727" i="270"/>
  <c r="L728" i="270"/>
  <c r="L729" i="270"/>
  <c r="F730" i="270"/>
  <c r="L730" i="270" s="1"/>
  <c r="F731" i="270"/>
  <c r="L731" i="270" s="1"/>
  <c r="F732" i="270"/>
  <c r="L732" i="270" s="1"/>
  <c r="F733" i="270"/>
  <c r="L733" i="270" s="1"/>
  <c r="F734" i="270"/>
  <c r="L734" i="270" s="1"/>
  <c r="F735" i="270"/>
  <c r="L735" i="270" s="1"/>
  <c r="F736" i="270"/>
  <c r="L736" i="270" s="1"/>
  <c r="L737" i="270"/>
  <c r="L738" i="270"/>
  <c r="L739" i="270"/>
  <c r="L740" i="270"/>
  <c r="L741" i="270"/>
  <c r="L742" i="270"/>
  <c r="L743" i="270"/>
  <c r="F749" i="270"/>
  <c r="L749" i="270" s="1"/>
  <c r="F750" i="270"/>
  <c r="L750" i="270" s="1"/>
  <c r="L768" i="270"/>
  <c r="L769" i="270"/>
  <c r="F770" i="270"/>
  <c r="L770" i="270" s="1"/>
  <c r="L771" i="270"/>
  <c r="F772" i="270"/>
  <c r="L772" i="270" s="1"/>
  <c r="L773" i="270"/>
  <c r="L777" i="270"/>
  <c r="L778" i="270"/>
  <c r="L779" i="270"/>
  <c r="F780" i="270"/>
  <c r="L780" i="270" s="1"/>
  <c r="F781" i="270"/>
  <c r="L781" i="270" s="1"/>
  <c r="F782" i="270"/>
  <c r="L782" i="270" s="1"/>
  <c r="F783" i="270"/>
  <c r="L783" i="270" s="1"/>
  <c r="L784" i="270"/>
  <c r="F785" i="270"/>
  <c r="L785" i="270" s="1"/>
  <c r="L786" i="270"/>
  <c r="F787" i="270"/>
  <c r="L787" i="270" s="1"/>
  <c r="F788" i="270"/>
  <c r="L788" i="270" s="1"/>
  <c r="F789" i="270"/>
  <c r="L789" i="270" s="1"/>
  <c r="F790" i="270"/>
  <c r="L790" i="270" s="1"/>
  <c r="L791" i="270"/>
  <c r="L795" i="270"/>
  <c r="L796" i="270"/>
  <c r="L797" i="270"/>
  <c r="L798" i="270"/>
  <c r="L799" i="270"/>
  <c r="L800" i="270"/>
  <c r="F801" i="270"/>
  <c r="L801" i="270" s="1"/>
  <c r="L802" i="270"/>
  <c r="F803" i="270"/>
  <c r="L803" i="270" s="1"/>
  <c r="F804" i="270"/>
  <c r="L804" i="270" s="1"/>
  <c r="L805" i="270"/>
  <c r="L806" i="270"/>
  <c r="L807" i="270"/>
  <c r="F808" i="270"/>
  <c r="L808" i="270" s="1"/>
  <c r="F809" i="270"/>
  <c r="L809" i="270" s="1"/>
  <c r="F810" i="270"/>
  <c r="L810" i="270" s="1"/>
  <c r="F811" i="270"/>
  <c r="L811" i="270" s="1"/>
  <c r="F812" i="270"/>
  <c r="L812" i="270" s="1"/>
  <c r="F813" i="270"/>
  <c r="L813" i="270" s="1"/>
  <c r="F814" i="270"/>
  <c r="L814" i="270" s="1"/>
  <c r="L815" i="270"/>
  <c r="L816" i="270"/>
  <c r="L817" i="270"/>
  <c r="L818" i="270"/>
  <c r="L819" i="270"/>
  <c r="L820" i="270"/>
  <c r="L821" i="270"/>
  <c r="L824" i="270"/>
  <c r="L825" i="270"/>
  <c r="L826" i="270"/>
  <c r="F827" i="270"/>
  <c r="L827" i="270" s="1"/>
  <c r="F828" i="270"/>
  <c r="L828" i="270" s="1"/>
  <c r="L846" i="270"/>
  <c r="L847" i="270"/>
  <c r="L848" i="270"/>
  <c r="L849" i="270"/>
  <c r="E852" i="270"/>
  <c r="L852" i="270" s="1"/>
  <c r="E853" i="270"/>
  <c r="L853" i="270" s="1"/>
  <c r="E854" i="270"/>
  <c r="L854" i="270" s="1"/>
  <c r="E857" i="270"/>
  <c r="L857" i="270" s="1"/>
  <c r="E858" i="270"/>
  <c r="L858" i="270" s="1"/>
  <c r="E859" i="270"/>
  <c r="L859" i="270" s="1"/>
  <c r="F878" i="270"/>
  <c r="L878" i="270" s="1"/>
  <c r="F879" i="270"/>
  <c r="L879" i="270" s="1"/>
  <c r="F880" i="270"/>
  <c r="L880" i="270" s="1"/>
  <c r="F881" i="270"/>
  <c r="L881" i="270" s="1"/>
  <c r="F882" i="270"/>
  <c r="L882" i="270" s="1"/>
  <c r="F886" i="270"/>
  <c r="L886" i="270" s="1"/>
  <c r="F887" i="270"/>
  <c r="L887" i="270" s="1"/>
  <c r="F888" i="270"/>
  <c r="L888" i="270" s="1"/>
  <c r="F889" i="270"/>
  <c r="L889" i="270" s="1"/>
  <c r="F890" i="270"/>
  <c r="L890" i="270" s="1"/>
  <c r="F891" i="270"/>
  <c r="L891" i="270" s="1"/>
  <c r="F892" i="270"/>
  <c r="L892" i="270" s="1"/>
  <c r="F893" i="270"/>
  <c r="L893" i="270" s="1"/>
  <c r="F894" i="270"/>
  <c r="L894" i="270" s="1"/>
  <c r="F895" i="270"/>
  <c r="L895" i="270" s="1"/>
  <c r="F896" i="270"/>
  <c r="L896" i="270" s="1"/>
  <c r="F897" i="270"/>
  <c r="L897" i="270" s="1"/>
  <c r="F901" i="270"/>
  <c r="L901" i="270" s="1"/>
  <c r="F902" i="270"/>
  <c r="L902" i="270" s="1"/>
  <c r="F903" i="270"/>
  <c r="L903" i="270" s="1"/>
  <c r="F904" i="270"/>
  <c r="L904" i="270" s="1"/>
  <c r="F905" i="270"/>
  <c r="L905" i="270" s="1"/>
  <c r="F906" i="270"/>
  <c r="L906" i="270" s="1"/>
  <c r="F907" i="270"/>
  <c r="L907" i="270" s="1"/>
  <c r="F908" i="270"/>
  <c r="L908" i="270" s="1"/>
  <c r="F909" i="270"/>
  <c r="L909" i="270" s="1"/>
  <c r="F910" i="270"/>
  <c r="L910" i="270" s="1"/>
  <c r="F911" i="270"/>
  <c r="L911" i="270" s="1"/>
  <c r="L914" i="270"/>
  <c r="F915" i="270"/>
  <c r="L915" i="270" s="1"/>
  <c r="F916" i="270"/>
  <c r="L916" i="270" s="1"/>
  <c r="F917" i="270"/>
  <c r="L917" i="270" s="1"/>
  <c r="F918" i="270"/>
  <c r="L918" i="270" s="1"/>
  <c r="L921" i="270"/>
  <c r="L922" i="270"/>
  <c r="L923" i="270"/>
  <c r="L936" i="270"/>
  <c r="L937" i="270"/>
  <c r="L938" i="270"/>
  <c r="L939" i="270"/>
  <c r="L940" i="270"/>
  <c r="L943" i="270"/>
  <c r="L965" i="270"/>
  <c r="L967" i="270"/>
  <c r="L969" i="270"/>
  <c r="L974" i="270"/>
  <c r="L982" i="270"/>
  <c r="L983" i="270"/>
  <c r="L1006" i="270"/>
  <c r="L1007" i="270"/>
  <c r="L1008" i="270"/>
  <c r="L1011" i="270"/>
  <c r="L1012" i="270"/>
  <c r="L1136" i="270"/>
  <c r="L1137" i="270"/>
  <c r="L1214" i="270"/>
  <c r="F1215" i="270"/>
  <c r="L1215" i="270" s="1"/>
  <c r="D1216" i="270"/>
  <c r="L1216" i="270" s="1"/>
  <c r="D1217" i="270"/>
  <c r="L1217" i="270" s="1"/>
  <c r="F1218" i="270"/>
  <c r="L1218" i="270" s="1"/>
  <c r="D1219" i="270"/>
  <c r="L1219" i="270" s="1"/>
  <c r="L1222" i="270"/>
  <c r="F1223" i="270"/>
  <c r="L1223" i="270" s="1"/>
  <c r="D1224" i="270"/>
  <c r="L1224" i="270" s="1"/>
  <c r="L1225" i="270"/>
  <c r="F1226" i="270"/>
  <c r="L1226" i="270" s="1"/>
  <c r="L1227" i="270"/>
  <c r="L1230" i="270"/>
  <c r="L1231" i="270"/>
  <c r="L1232" i="270"/>
  <c r="L1233" i="270"/>
  <c r="L1234" i="270"/>
  <c r="L1235" i="270"/>
  <c r="L1238" i="270"/>
  <c r="L1239" i="270"/>
  <c r="L1240" i="270"/>
  <c r="L1241" i="270"/>
  <c r="L1244" i="270"/>
  <c r="L1245" i="270"/>
  <c r="L1246" i="270"/>
  <c r="L1248" i="270"/>
  <c r="L1263" i="270"/>
  <c r="F1264" i="270"/>
  <c r="L1264" i="270" s="1"/>
  <c r="D1265" i="270"/>
  <c r="L1265" i="270" s="1"/>
  <c r="D1266" i="270"/>
  <c r="L1266" i="270" s="1"/>
  <c r="F1267" i="270"/>
  <c r="L1267" i="270" s="1"/>
  <c r="D1268" i="270"/>
  <c r="L1268" i="270" s="1"/>
  <c r="L1271" i="270"/>
  <c r="F1272" i="270"/>
  <c r="L1272" i="270" s="1"/>
  <c r="D1273" i="270"/>
  <c r="L1273" i="270" s="1"/>
  <c r="L1274" i="270"/>
  <c r="F1275" i="270"/>
  <c r="L1275" i="270" s="1"/>
  <c r="L1276" i="270"/>
  <c r="L1279" i="270"/>
  <c r="L1280" i="270"/>
  <c r="L1281" i="270"/>
  <c r="L1282" i="270"/>
  <c r="L1283" i="270"/>
  <c r="L1284" i="270"/>
  <c r="L1287" i="270"/>
  <c r="L1288" i="270"/>
  <c r="L1289" i="270"/>
  <c r="L1290" i="270"/>
  <c r="L1294" i="270"/>
  <c r="L1296" i="270"/>
  <c r="L1309" i="270"/>
  <c r="I1310" i="270"/>
  <c r="L1310" i="270" s="1"/>
  <c r="L1312" i="270"/>
  <c r="L1313" i="270"/>
  <c r="L1323" i="270"/>
  <c r="F1324" i="270"/>
  <c r="L1324" i="270" s="1"/>
  <c r="L1325" i="270"/>
  <c r="L1326" i="270"/>
  <c r="F1327" i="270"/>
  <c r="L1327" i="270" s="1"/>
  <c r="L1330" i="270"/>
  <c r="F1331" i="270"/>
  <c r="L1331" i="270" s="1"/>
  <c r="L1332" i="270"/>
  <c r="L1333" i="270"/>
  <c r="F1334" i="270"/>
  <c r="L1334" i="270" s="1"/>
  <c r="L1337" i="270"/>
  <c r="L1338" i="270"/>
  <c r="L1339" i="270"/>
  <c r="L1340" i="270"/>
  <c r="L1341" i="270"/>
  <c r="L1344" i="270"/>
  <c r="L1347" i="270"/>
  <c r="L1348" i="270"/>
  <c r="L1349" i="270"/>
  <c r="F1364" i="270"/>
  <c r="L1364" i="270" s="1"/>
  <c r="L1374" i="270"/>
  <c r="L1370" i="270" s="1"/>
  <c r="S78" i="269" s="1"/>
  <c r="N78" i="269" s="1"/>
  <c r="P78" i="269" s="1"/>
  <c r="L1389" i="270"/>
  <c r="L1393" i="270"/>
  <c r="L1394" i="270"/>
  <c r="L1468" i="270"/>
  <c r="L1473" i="270"/>
  <c r="L1522" i="270"/>
  <c r="L1545" i="270"/>
  <c r="L1574" i="270"/>
  <c r="L1603" i="270"/>
  <c r="L1607" i="270"/>
  <c r="L1610" i="270"/>
  <c r="L1622" i="270"/>
  <c r="L1623" i="270"/>
  <c r="L1635" i="270"/>
  <c r="L1636" i="270"/>
  <c r="L1647" i="270"/>
  <c r="L1664" i="270"/>
  <c r="L1666" i="270"/>
  <c r="L1669" i="270"/>
  <c r="L1670" i="270"/>
  <c r="L1747" i="270"/>
  <c r="L1748" i="270"/>
  <c r="L1761" i="270"/>
  <c r="L1779" i="270"/>
  <c r="L1780" i="270"/>
  <c r="L1781" i="270"/>
  <c r="L1782" i="270"/>
  <c r="L1783" i="270"/>
  <c r="L1784" i="270"/>
  <c r="L1785" i="270"/>
  <c r="L1789" i="270"/>
  <c r="L1790" i="270"/>
  <c r="L1795" i="270"/>
  <c r="L1796" i="270"/>
  <c r="L1799" i="270"/>
  <c r="L1800" i="270"/>
  <c r="L1811" i="270"/>
  <c r="L1812" i="270"/>
  <c r="L1813" i="270"/>
  <c r="L1814" i="270"/>
  <c r="L1815" i="270"/>
  <c r="L1816" i="270"/>
  <c r="L1817" i="270"/>
  <c r="L1818" i="270"/>
  <c r="C1819" i="270"/>
  <c r="L1819" i="270" s="1"/>
  <c r="L1822" i="270"/>
  <c r="L1823" i="270"/>
  <c r="L1824" i="270"/>
  <c r="L1827" i="270"/>
  <c r="L1828" i="270"/>
  <c r="L1829" i="270"/>
  <c r="L1830" i="270"/>
  <c r="L1833" i="270"/>
  <c r="L1834" i="270"/>
  <c r="L1835" i="270"/>
  <c r="L1838" i="270"/>
  <c r="L1839" i="270"/>
  <c r="L1842" i="270"/>
  <c r="L1843" i="270"/>
  <c r="L1844" i="270"/>
  <c r="L1845" i="270"/>
  <c r="L1848" i="270"/>
  <c r="L1849" i="270"/>
  <c r="L1850" i="270"/>
  <c r="L1851" i="270"/>
  <c r="F1865" i="270"/>
  <c r="L1865" i="270" s="1"/>
  <c r="L1866" i="270"/>
  <c r="L1867" i="270"/>
  <c r="L1868" i="270"/>
  <c r="L1869" i="270"/>
  <c r="L1870" i="270"/>
  <c r="L1874" i="270"/>
  <c r="L1875" i="270"/>
  <c r="L1876" i="270"/>
  <c r="L1877" i="270"/>
  <c r="L1878" i="270"/>
  <c r="L1880" i="270"/>
  <c r="L1884" i="270"/>
  <c r="L1885" i="270"/>
  <c r="L1886" i="270"/>
  <c r="L1887" i="270"/>
  <c r="L1889" i="270"/>
  <c r="L1891" i="270"/>
  <c r="L1892" i="270"/>
  <c r="L1893" i="270"/>
  <c r="L1894" i="270"/>
  <c r="L1916" i="270"/>
  <c r="L1917" i="270"/>
  <c r="L1918" i="270"/>
  <c r="L1919" i="270"/>
  <c r="L1920" i="270"/>
  <c r="L1921" i="270"/>
  <c r="L1922" i="270"/>
  <c r="L1923" i="270"/>
  <c r="L1926" i="270"/>
  <c r="L1927" i="270"/>
  <c r="L1928" i="270"/>
  <c r="L1931" i="270"/>
  <c r="L1932" i="270"/>
  <c r="L1933" i="270"/>
  <c r="L1942" i="270"/>
  <c r="L1943" i="270"/>
  <c r="L1944" i="270"/>
  <c r="L1947" i="270"/>
  <c r="L1948" i="270"/>
  <c r="L1949" i="270"/>
  <c r="L1961" i="270"/>
  <c r="L1962" i="270"/>
  <c r="L1963" i="270"/>
  <c r="L1964" i="270"/>
  <c r="L1965" i="270"/>
  <c r="L1966" i="270"/>
  <c r="L1967" i="270"/>
  <c r="L1968" i="270"/>
  <c r="C1969" i="270"/>
  <c r="L1969" i="270" s="1"/>
  <c r="L1972" i="270"/>
  <c r="L1973" i="270"/>
  <c r="L1974" i="270"/>
  <c r="L1977" i="270"/>
  <c r="L1978" i="270"/>
  <c r="L1979" i="270"/>
  <c r="L1982" i="270"/>
  <c r="L1983" i="270"/>
  <c r="L1986" i="270"/>
  <c r="L1987" i="270"/>
  <c r="L1988" i="270"/>
  <c r="L1989" i="270"/>
  <c r="L1991" i="270"/>
  <c r="L1992" i="270"/>
  <c r="L1993" i="270"/>
  <c r="L1994" i="270"/>
  <c r="F1999" i="270"/>
  <c r="L1999" i="270" s="1"/>
  <c r="L2000" i="270"/>
  <c r="L2001" i="270"/>
  <c r="L2002" i="270"/>
  <c r="L2003" i="270"/>
  <c r="L2004" i="270"/>
  <c r="L2008" i="270"/>
  <c r="L2009" i="270"/>
  <c r="L2010" i="270"/>
  <c r="L2011" i="270"/>
  <c r="L2012" i="270"/>
  <c r="L2014" i="270"/>
  <c r="L2017" i="270"/>
  <c r="L2018" i="270"/>
  <c r="L2019" i="270"/>
  <c r="L2020" i="270"/>
  <c r="L2021" i="270"/>
  <c r="L2025" i="270"/>
  <c r="L2026" i="270"/>
  <c r="L2027" i="270"/>
  <c r="L2028" i="270"/>
  <c r="L2031" i="270"/>
  <c r="L2032" i="270"/>
  <c r="L2033" i="270"/>
  <c r="L2034" i="270"/>
  <c r="L2132" i="270"/>
  <c r="L2134" i="270"/>
  <c r="L2136" i="270"/>
  <c r="L2137" i="270"/>
  <c r="L2157" i="270"/>
  <c r="L2154" i="270" s="1"/>
  <c r="F2181" i="270"/>
  <c r="L2181" i="270" s="1"/>
  <c r="F2182" i="270"/>
  <c r="L2182" i="270" s="1"/>
  <c r="L2193" i="270"/>
  <c r="L2194" i="270"/>
  <c r="L2204" i="270"/>
  <c r="L2205" i="270"/>
  <c r="L2216" i="270"/>
  <c r="L2217" i="270"/>
  <c r="L2229" i="270"/>
  <c r="I2230" i="270"/>
  <c r="L2230" i="270" s="1"/>
  <c r="L2231" i="270"/>
  <c r="L2241" i="270"/>
  <c r="L2242" i="270"/>
  <c r="L2243" i="270"/>
  <c r="L2265" i="270"/>
  <c r="L2266" i="270"/>
  <c r="L2278" i="270"/>
  <c r="L2279" i="270"/>
  <c r="L2280" i="270"/>
  <c r="L2290" i="270"/>
  <c r="L2291" i="270"/>
  <c r="L2292" i="270"/>
  <c r="L2302" i="270"/>
  <c r="L2303" i="270"/>
  <c r="L2304" i="270"/>
  <c r="L2305" i="270"/>
  <c r="L2315" i="270"/>
  <c r="L2316" i="270"/>
  <c r="L2328" i="270"/>
  <c r="L2329" i="270"/>
  <c r="L2340" i="270"/>
  <c r="L2341" i="270"/>
  <c r="L2342" i="270"/>
  <c r="L2351" i="270"/>
  <c r="L2352" i="270"/>
  <c r="L2359" i="270"/>
  <c r="S205" i="269" s="1"/>
  <c r="L2375" i="270"/>
  <c r="L2372" i="270" s="1"/>
  <c r="S277" i="269" s="1"/>
  <c r="L2386" i="270"/>
  <c r="L2387" i="270"/>
  <c r="L2388" i="270"/>
  <c r="I2389" i="270"/>
  <c r="L2389" i="270" s="1"/>
  <c r="I2390" i="270"/>
  <c r="L2390" i="270" s="1"/>
  <c r="I2391" i="270"/>
  <c r="L2391" i="270" s="1"/>
  <c r="L2411" i="270"/>
  <c r="L2407" i="270" s="1"/>
  <c r="S280" i="269" s="1"/>
  <c r="L2422" i="270"/>
  <c r="L2418" i="270" s="1"/>
  <c r="S281" i="269" s="1"/>
  <c r="L2431" i="270"/>
  <c r="L2427" i="270" s="1"/>
  <c r="S282" i="269" s="1"/>
  <c r="M282" i="269" s="1"/>
  <c r="O282" i="269" s="1"/>
  <c r="L2685" i="270"/>
  <c r="L2686" i="270"/>
  <c r="L2687" i="270"/>
  <c r="L2688" i="270"/>
  <c r="L2698" i="270"/>
  <c r="K21" i="269"/>
  <c r="K22" i="269"/>
  <c r="K23" i="269"/>
  <c r="K24" i="269"/>
  <c r="K25" i="269"/>
  <c r="K26" i="269"/>
  <c r="K27" i="269"/>
  <c r="K28" i="269"/>
  <c r="K29" i="269"/>
  <c r="K30" i="269"/>
  <c r="K31" i="269"/>
  <c r="K34" i="269"/>
  <c r="K35" i="269"/>
  <c r="K36" i="269"/>
  <c r="K37" i="269"/>
  <c r="K38" i="269"/>
  <c r="K41" i="269"/>
  <c r="K42" i="269"/>
  <c r="K43" i="269"/>
  <c r="K44" i="269"/>
  <c r="K45" i="269"/>
  <c r="K46" i="269"/>
  <c r="K47" i="269"/>
  <c r="K48" i="269"/>
  <c r="K49" i="269"/>
  <c r="K50" i="269"/>
  <c r="K51" i="269"/>
  <c r="K54" i="269"/>
  <c r="K55" i="269"/>
  <c r="K56" i="269"/>
  <c r="K57" i="269"/>
  <c r="K58" i="269"/>
  <c r="K59" i="269"/>
  <c r="K60" i="269"/>
  <c r="K61" i="269"/>
  <c r="K62" i="269"/>
  <c r="K63" i="269"/>
  <c r="K64" i="269"/>
  <c r="K65" i="269"/>
  <c r="K66" i="269"/>
  <c r="K67" i="269"/>
  <c r="K68" i="269"/>
  <c r="K69" i="269"/>
  <c r="K72" i="269"/>
  <c r="K73" i="269"/>
  <c r="K74" i="269"/>
  <c r="K75" i="269"/>
  <c r="K76" i="269"/>
  <c r="K77" i="269"/>
  <c r="K78" i="269"/>
  <c r="K81" i="269"/>
  <c r="K82" i="269"/>
  <c r="K83" i="269"/>
  <c r="K84" i="269"/>
  <c r="K85" i="269"/>
  <c r="K86" i="269"/>
  <c r="K87" i="269"/>
  <c r="K88" i="269"/>
  <c r="K89" i="269"/>
  <c r="K90" i="269"/>
  <c r="K91" i="269"/>
  <c r="K92" i="269"/>
  <c r="K93" i="269"/>
  <c r="K97" i="269"/>
  <c r="K98" i="269"/>
  <c r="K99" i="269"/>
  <c r="K169" i="269"/>
  <c r="K170" i="269"/>
  <c r="K171" i="269"/>
  <c r="K172" i="269"/>
  <c r="K173" i="269"/>
  <c r="K174" i="269"/>
  <c r="K175" i="269"/>
  <c r="K176" i="269"/>
  <c r="K177" i="269"/>
  <c r="K178" i="269"/>
  <c r="K179" i="269"/>
  <c r="K180" i="269"/>
  <c r="K183" i="269"/>
  <c r="K184" i="269"/>
  <c r="K185" i="269"/>
  <c r="K186" i="269"/>
  <c r="K187" i="269"/>
  <c r="K188" i="269"/>
  <c r="K189" i="269"/>
  <c r="K190" i="269"/>
  <c r="K191" i="269"/>
  <c r="K194" i="269"/>
  <c r="K195" i="269"/>
  <c r="K196" i="269"/>
  <c r="K197" i="269"/>
  <c r="K198" i="269"/>
  <c r="K199" i="269"/>
  <c r="K200" i="269"/>
  <c r="K201" i="269"/>
  <c r="K202" i="269"/>
  <c r="K203" i="269"/>
  <c r="K204" i="269"/>
  <c r="K205" i="269"/>
  <c r="K277" i="269"/>
  <c r="K278" i="269"/>
  <c r="K279" i="269"/>
  <c r="K280" i="269"/>
  <c r="K281" i="269"/>
  <c r="K282" i="269"/>
  <c r="K285" i="269"/>
  <c r="K286" i="269"/>
  <c r="K287" i="269"/>
  <c r="K288" i="269"/>
  <c r="K289" i="269"/>
  <c r="K290" i="269"/>
  <c r="K291" i="269"/>
  <c r="K292" i="269"/>
  <c r="K293" i="269"/>
  <c r="K294" i="269"/>
  <c r="K295" i="269"/>
  <c r="K296" i="269"/>
  <c r="K297" i="269"/>
  <c r="K298" i="269"/>
  <c r="K299" i="269"/>
  <c r="K300" i="269"/>
  <c r="K304" i="269"/>
  <c r="K305" i="269"/>
  <c r="K308" i="269"/>
  <c r="K309" i="269"/>
  <c r="K379" i="269"/>
  <c r="K380" i="269"/>
  <c r="K381" i="269"/>
  <c r="K382" i="269"/>
  <c r="K383" i="269"/>
  <c r="K384" i="269"/>
  <c r="K385" i="269"/>
  <c r="K386" i="269"/>
  <c r="K389" i="269"/>
  <c r="K390" i="269"/>
  <c r="K391" i="269"/>
  <c r="K392" i="269"/>
  <c r="K393" i="269"/>
  <c r="K396" i="269"/>
  <c r="K397" i="269"/>
  <c r="K398" i="269"/>
  <c r="K399" i="269"/>
  <c r="K400" i="269"/>
  <c r="K401" i="269"/>
  <c r="K402" i="269"/>
  <c r="K403" i="269"/>
  <c r="K404" i="269"/>
  <c r="K405" i="269"/>
  <c r="K406" i="269"/>
  <c r="K409" i="269"/>
  <c r="K410" i="269"/>
  <c r="K411" i="269"/>
  <c r="K412" i="269"/>
  <c r="K413" i="269"/>
  <c r="K414" i="269"/>
  <c r="K415" i="269"/>
  <c r="K416" i="269"/>
  <c r="K417" i="269"/>
  <c r="K418" i="269"/>
  <c r="K419" i="269"/>
  <c r="K420" i="269"/>
  <c r="K421" i="269"/>
  <c r="K422" i="269"/>
  <c r="K425" i="269"/>
  <c r="K426" i="269"/>
  <c r="K427" i="269"/>
  <c r="K428" i="269"/>
  <c r="K429" i="269"/>
  <c r="K430" i="269"/>
  <c r="K431" i="269"/>
  <c r="K434" i="269"/>
  <c r="K435" i="269"/>
  <c r="K436" i="269"/>
  <c r="K437" i="269"/>
  <c r="K438" i="269"/>
  <c r="K439" i="269"/>
  <c r="K440" i="269"/>
  <c r="K441" i="269"/>
  <c r="K442" i="269"/>
  <c r="K443" i="269"/>
  <c r="K444" i="269"/>
  <c r="K445" i="269"/>
  <c r="K446" i="269"/>
  <c r="K449" i="269"/>
  <c r="K450" i="269"/>
  <c r="K451" i="269"/>
  <c r="K527" i="269"/>
  <c r="K528" i="269"/>
  <c r="K529" i="269"/>
  <c r="K530" i="269"/>
  <c r="K531" i="269"/>
  <c r="K532" i="269"/>
  <c r="K533" i="269"/>
  <c r="K534" i="269"/>
  <c r="K535" i="269"/>
  <c r="K536" i="269"/>
  <c r="K537" i="269"/>
  <c r="K538" i="269"/>
  <c r="K541" i="269"/>
  <c r="K542" i="269"/>
  <c r="K543" i="269"/>
  <c r="K544" i="269"/>
  <c r="K545" i="269"/>
  <c r="K546" i="269"/>
  <c r="K547" i="269"/>
  <c r="K548" i="269"/>
  <c r="K549" i="269"/>
  <c r="K552" i="269"/>
  <c r="K553" i="269"/>
  <c r="K554" i="269"/>
  <c r="K555" i="269"/>
  <c r="K556" i="269"/>
  <c r="K557" i="269"/>
  <c r="K558" i="269"/>
  <c r="K559" i="269"/>
  <c r="K560" i="269"/>
  <c r="K561" i="269"/>
  <c r="K562" i="269"/>
  <c r="K563" i="269"/>
  <c r="K634" i="269"/>
  <c r="K635" i="269"/>
  <c r="K636" i="269"/>
  <c r="K637" i="269"/>
  <c r="K638" i="269"/>
  <c r="K639" i="269"/>
  <c r="K640" i="269"/>
  <c r="K641" i="269"/>
  <c r="K642" i="269"/>
  <c r="K643" i="269"/>
  <c r="K644" i="269"/>
  <c r="K645" i="269"/>
  <c r="K646" i="269"/>
  <c r="K647" i="269"/>
  <c r="K648" i="269"/>
  <c r="K649" i="269"/>
  <c r="K650" i="269"/>
  <c r="K651" i="269"/>
  <c r="K652" i="269"/>
  <c r="K653" i="269"/>
  <c r="K654" i="269"/>
  <c r="K655" i="269"/>
  <c r="K656" i="269"/>
  <c r="K659" i="269"/>
  <c r="K660" i="269"/>
  <c r="K208" i="269"/>
  <c r="K209" i="269"/>
  <c r="K210" i="269"/>
  <c r="K211" i="269"/>
  <c r="K212" i="269"/>
  <c r="K213" i="269"/>
  <c r="K214" i="269"/>
  <c r="K215" i="269"/>
  <c r="K216" i="269"/>
  <c r="K217" i="269"/>
  <c r="K218" i="269"/>
  <c r="K219" i="269"/>
  <c r="K220" i="269"/>
  <c r="K221" i="269"/>
  <c r="K222" i="269"/>
  <c r="K223" i="269"/>
  <c r="K224" i="269"/>
  <c r="K225" i="269"/>
  <c r="K226" i="269"/>
  <c r="K227" i="269"/>
  <c r="K228" i="269"/>
  <c r="K229" i="269"/>
  <c r="K230" i="269"/>
  <c r="K231" i="269"/>
  <c r="K232" i="269"/>
  <c r="K233" i="269"/>
  <c r="K94" i="269"/>
  <c r="K102" i="269"/>
  <c r="K103" i="269"/>
  <c r="K104" i="269"/>
  <c r="K105" i="269"/>
  <c r="K106" i="269"/>
  <c r="K107" i="269"/>
  <c r="K108" i="269"/>
  <c r="K109" i="269"/>
  <c r="K110" i="269"/>
  <c r="K111" i="269"/>
  <c r="K112" i="269"/>
  <c r="K113" i="269"/>
  <c r="K115" i="269"/>
  <c r="K116" i="269"/>
  <c r="K117" i="269"/>
  <c r="K118" i="269"/>
  <c r="K119" i="269"/>
  <c r="K120" i="269"/>
  <c r="K121" i="269"/>
  <c r="K122" i="269"/>
  <c r="K123" i="269"/>
  <c r="K124" i="269"/>
  <c r="K125" i="269"/>
  <c r="K126" i="269"/>
  <c r="K127" i="269"/>
  <c r="K128" i="269"/>
  <c r="K129" i="269"/>
  <c r="K130" i="269"/>
  <c r="K131" i="269"/>
  <c r="K132" i="269"/>
  <c r="K133" i="269"/>
  <c r="K134" i="269"/>
  <c r="K135" i="269"/>
  <c r="K136" i="269"/>
  <c r="K137" i="269"/>
  <c r="K138" i="269"/>
  <c r="K139" i="269"/>
  <c r="K140" i="269"/>
  <c r="K141" i="269"/>
  <c r="K142" i="269"/>
  <c r="K143" i="269"/>
  <c r="K144" i="269"/>
  <c r="K145" i="269"/>
  <c r="K146" i="269"/>
  <c r="K147" i="269"/>
  <c r="K148" i="269"/>
  <c r="K149" i="269"/>
  <c r="K150" i="269"/>
  <c r="K151" i="269"/>
  <c r="K152" i="269"/>
  <c r="K153" i="269"/>
  <c r="K154" i="269"/>
  <c r="K155" i="269"/>
  <c r="K156" i="269"/>
  <c r="K157" i="269"/>
  <c r="K158" i="269"/>
  <c r="K159" i="269"/>
  <c r="K160" i="269"/>
  <c r="K161" i="269"/>
  <c r="K162" i="269"/>
  <c r="K163" i="269"/>
  <c r="K164" i="269"/>
  <c r="K165" i="269"/>
  <c r="K166" i="269"/>
  <c r="K273" i="269"/>
  <c r="K274" i="269"/>
  <c r="K301" i="269"/>
  <c r="K302" i="269"/>
  <c r="K303" i="269"/>
  <c r="K454" i="269"/>
  <c r="K455" i="269"/>
  <c r="K456" i="269"/>
  <c r="K457" i="269"/>
  <c r="K458" i="269"/>
  <c r="K459" i="269"/>
  <c r="K461" i="269"/>
  <c r="K462" i="269"/>
  <c r="K463" i="269"/>
  <c r="K464" i="269"/>
  <c r="K465" i="269"/>
  <c r="K466" i="269"/>
  <c r="K467" i="269"/>
  <c r="K468" i="269"/>
  <c r="K469" i="269"/>
  <c r="K470" i="269"/>
  <c r="K471" i="269"/>
  <c r="K472" i="269"/>
  <c r="K473" i="269"/>
  <c r="K474" i="269"/>
  <c r="K475" i="269"/>
  <c r="K476" i="269"/>
  <c r="K477" i="269"/>
  <c r="K478" i="269"/>
  <c r="K479" i="269"/>
  <c r="K480" i="269"/>
  <c r="K481" i="269"/>
  <c r="K482" i="269"/>
  <c r="K483" i="269"/>
  <c r="K484" i="269"/>
  <c r="K485" i="269"/>
  <c r="K486" i="269"/>
  <c r="K487" i="269"/>
  <c r="K488" i="269"/>
  <c r="K489" i="269"/>
  <c r="K490" i="269"/>
  <c r="K491" i="269"/>
  <c r="K492" i="269"/>
  <c r="K493" i="269"/>
  <c r="K494" i="269"/>
  <c r="K495" i="269"/>
  <c r="K496" i="269"/>
  <c r="K497" i="269"/>
  <c r="K498" i="269"/>
  <c r="K499" i="269"/>
  <c r="K500" i="269"/>
  <c r="K501" i="269"/>
  <c r="K502" i="269"/>
  <c r="K503" i="269"/>
  <c r="K504" i="269"/>
  <c r="K505" i="269"/>
  <c r="K506" i="269"/>
  <c r="K507" i="269"/>
  <c r="K508" i="269"/>
  <c r="K509" i="269"/>
  <c r="K510" i="269"/>
  <c r="K511" i="269"/>
  <c r="K512" i="269"/>
  <c r="K513" i="269"/>
  <c r="K514" i="269"/>
  <c r="K515" i="269"/>
  <c r="K516" i="269"/>
  <c r="K517" i="269"/>
  <c r="K518" i="269"/>
  <c r="K519" i="269"/>
  <c r="K520" i="269"/>
  <c r="K521" i="269"/>
  <c r="K522" i="269"/>
  <c r="K523" i="269"/>
  <c r="K524" i="269"/>
  <c r="K566" i="269"/>
  <c r="K567" i="269"/>
  <c r="K568" i="269"/>
  <c r="K569" i="269"/>
  <c r="K570" i="269"/>
  <c r="K571" i="269"/>
  <c r="K572" i="269"/>
  <c r="K573" i="269"/>
  <c r="K574" i="269"/>
  <c r="K575" i="269"/>
  <c r="K576" i="269"/>
  <c r="K577" i="269"/>
  <c r="K578" i="269"/>
  <c r="K579" i="269"/>
  <c r="K580" i="269"/>
  <c r="K581" i="269"/>
  <c r="K582" i="269"/>
  <c r="K583" i="269"/>
  <c r="K584" i="269"/>
  <c r="K585" i="269"/>
  <c r="K586" i="269"/>
  <c r="K587" i="269"/>
  <c r="K588" i="269"/>
  <c r="K589" i="269"/>
  <c r="K590" i="269"/>
  <c r="K591" i="269"/>
  <c r="K592" i="269"/>
  <c r="K593" i="269"/>
  <c r="K594" i="269"/>
  <c r="K595" i="269"/>
  <c r="K596" i="269"/>
  <c r="K597" i="269"/>
  <c r="K598" i="269"/>
  <c r="K599" i="269"/>
  <c r="K600" i="269"/>
  <c r="K601" i="269"/>
  <c r="K602" i="269"/>
  <c r="K603" i="269"/>
  <c r="K604" i="269"/>
  <c r="K605" i="269"/>
  <c r="K606" i="269"/>
  <c r="K607" i="269"/>
  <c r="K608" i="269"/>
  <c r="K609" i="269"/>
  <c r="K610" i="269"/>
  <c r="K611" i="269"/>
  <c r="K612" i="269"/>
  <c r="K613" i="269"/>
  <c r="K614" i="269"/>
  <c r="K615" i="269"/>
  <c r="K616" i="269"/>
  <c r="K617" i="269"/>
  <c r="K618" i="269"/>
  <c r="K619" i="269"/>
  <c r="K620" i="269"/>
  <c r="K621" i="269"/>
  <c r="K622" i="269"/>
  <c r="K623" i="269"/>
  <c r="K626" i="269"/>
  <c r="K627" i="269"/>
  <c r="K630" i="269"/>
  <c r="K631" i="269"/>
  <c r="L2146" i="270"/>
  <c r="L2145" i="270"/>
  <c r="E863" i="270"/>
  <c r="L863" i="270" s="1"/>
  <c r="E862" i="270"/>
  <c r="L862" i="270" s="1"/>
  <c r="L477" i="270"/>
  <c r="L474" i="270" s="1"/>
  <c r="H306" i="270"/>
  <c r="C2740" i="270"/>
  <c r="C3788" i="270"/>
  <c r="C3801" i="270"/>
  <c r="J3801" i="270" s="1"/>
  <c r="C3821" i="270"/>
  <c r="J3821" i="270" s="1"/>
  <c r="C3833" i="270"/>
  <c r="D3833" i="270" s="1"/>
  <c r="C3845" i="270"/>
  <c r="C3906" i="270"/>
  <c r="D3906" i="270" s="1"/>
  <c r="C3918" i="270"/>
  <c r="D3918" i="270" s="1"/>
  <c r="C3931" i="270"/>
  <c r="C3962" i="270"/>
  <c r="C4002" i="270"/>
  <c r="D4002" i="270" s="1"/>
  <c r="D4015" i="270"/>
  <c r="C4046" i="270"/>
  <c r="D4046" i="270" s="1"/>
  <c r="C4060" i="270"/>
  <c r="J4060" i="270" s="1"/>
  <c r="C4075" i="270"/>
  <c r="D4075" i="270" s="1"/>
  <c r="C4096" i="270"/>
  <c r="J4096" i="270" s="1"/>
  <c r="C4111" i="270"/>
  <c r="J4111" i="270" s="1"/>
  <c r="C4127" i="270"/>
  <c r="J4127" i="270" s="1"/>
  <c r="C4144" i="270"/>
  <c r="D4144" i="270" s="1"/>
  <c r="C4164" i="270"/>
  <c r="D4164" i="270" s="1"/>
  <c r="C4179" i="270"/>
  <c r="J4179" i="270" s="1"/>
  <c r="C4192" i="270"/>
  <c r="C4209" i="270"/>
  <c r="D4209" i="270" s="1"/>
  <c r="C4237" i="270"/>
  <c r="D4237" i="270" s="1"/>
  <c r="C4252" i="270"/>
  <c r="C4266" i="270"/>
  <c r="J4266" i="270" s="1"/>
  <c r="C4283" i="270"/>
  <c r="J4283" i="270" s="1"/>
  <c r="C4296" i="270"/>
  <c r="J4296" i="270" s="1"/>
  <c r="C4674" i="270"/>
  <c r="C4696" i="270"/>
  <c r="C4708" i="270"/>
  <c r="D4708" i="270" s="1"/>
  <c r="C4720" i="270"/>
  <c r="J4720" i="270" s="1"/>
  <c r="C4732" i="270"/>
  <c r="J4732" i="270" s="1"/>
  <c r="C4744" i="270"/>
  <c r="J4744" i="270" s="1"/>
  <c r="C4756" i="270"/>
  <c r="D4756" i="270" s="1"/>
  <c r="C4770" i="270"/>
  <c r="J4770" i="270" s="1"/>
  <c r="C4784" i="270"/>
  <c r="J4784" i="270" s="1"/>
  <c r="C4798" i="270"/>
  <c r="D4798" i="270" s="1"/>
  <c r="C4810" i="270"/>
  <c r="D4810" i="270" s="1"/>
  <c r="C4822" i="270"/>
  <c r="J4822" i="270" s="1"/>
  <c r="C4834" i="270"/>
  <c r="C4846" i="270"/>
  <c r="J4846" i="270" s="1"/>
  <c r="C4858" i="270"/>
  <c r="J4858" i="270" s="1"/>
  <c r="C4871" i="270"/>
  <c r="J4871" i="270" s="1"/>
  <c r="C4885" i="270"/>
  <c r="J4885" i="270" s="1"/>
  <c r="C4897" i="270"/>
  <c r="C4923" i="270"/>
  <c r="J4923" i="270" s="1"/>
  <c r="C4935" i="270"/>
  <c r="D4935" i="270" s="1"/>
  <c r="C4947" i="270"/>
  <c r="C4982" i="270"/>
  <c r="C4995" i="270"/>
  <c r="C5011" i="270"/>
  <c r="C5046" i="270"/>
  <c r="C5058" i="270"/>
  <c r="C5073" i="270"/>
  <c r="C5085" i="270"/>
  <c r="C5097" i="270"/>
  <c r="C5122" i="270"/>
  <c r="C5133" i="270"/>
  <c r="C5144" i="270"/>
  <c r="C5155" i="270"/>
  <c r="C5166" i="270"/>
  <c r="C5177" i="270"/>
  <c r="C5188" i="270"/>
  <c r="L5191" i="270"/>
  <c r="L5188" i="270" s="1"/>
  <c r="C5198" i="270"/>
  <c r="L5198" i="270"/>
  <c r="C5208" i="270"/>
  <c r="L5211" i="270"/>
  <c r="L5208" i="270" s="1"/>
  <c r="C5218" i="270"/>
  <c r="L5221" i="270"/>
  <c r="L5218" i="270" s="1"/>
  <c r="C5239" i="270"/>
  <c r="C5249" i="270"/>
  <c r="C5259" i="270"/>
  <c r="C5272" i="270"/>
  <c r="N90" i="269"/>
  <c r="P90" i="269" s="1"/>
  <c r="M90" i="269"/>
  <c r="O90" i="269" s="1"/>
  <c r="M443" i="269"/>
  <c r="O443" i="269" s="1"/>
  <c r="N443" i="269"/>
  <c r="P443" i="269" s="1"/>
  <c r="N380" i="269"/>
  <c r="P380" i="269" s="1"/>
  <c r="M380" i="269"/>
  <c r="O380" i="269" s="1"/>
  <c r="M22" i="269"/>
  <c r="O22" i="269" s="1"/>
  <c r="L3666" i="270"/>
  <c r="S403" i="269" s="1"/>
  <c r="D2742" i="270"/>
  <c r="M420" i="269"/>
  <c r="O420" i="269" s="1"/>
  <c r="N420" i="269"/>
  <c r="P420" i="269" s="1"/>
  <c r="M554" i="269"/>
  <c r="O554" i="269" s="1"/>
  <c r="N554" i="269"/>
  <c r="P554" i="269" s="1"/>
  <c r="N65" i="269"/>
  <c r="P65" i="269" s="1"/>
  <c r="M65" i="269"/>
  <c r="O65" i="269" s="1"/>
  <c r="M438" i="269"/>
  <c r="O438" i="269" s="1"/>
  <c r="N438" i="269"/>
  <c r="P438" i="269" s="1"/>
  <c r="M45" i="269"/>
  <c r="O45" i="269" s="1"/>
  <c r="N45" i="269"/>
  <c r="P45" i="269" s="1"/>
  <c r="M85" i="269"/>
  <c r="O85" i="269" s="1"/>
  <c r="N85" i="269"/>
  <c r="P85" i="269" s="1"/>
  <c r="M552" i="269"/>
  <c r="O552" i="269" s="1"/>
  <c r="N552" i="269"/>
  <c r="P552" i="269" s="1"/>
  <c r="L1707" i="270" l="1"/>
  <c r="L2695" i="270"/>
  <c r="S309" i="269" s="1"/>
  <c r="L4368" i="270"/>
  <c r="S529" i="269" s="1"/>
  <c r="N529" i="269" s="1"/>
  <c r="P529" i="269" s="1"/>
  <c r="L1210" i="270"/>
  <c r="L1259" i="270"/>
  <c r="K359" i="269"/>
  <c r="M359" i="269"/>
  <c r="O359" i="269" s="1"/>
  <c r="S359" i="269"/>
  <c r="U359" i="269" s="1"/>
  <c r="K320" i="269"/>
  <c r="K323" i="269" s="1"/>
  <c r="S320" i="269"/>
  <c r="U320" i="269" s="1"/>
  <c r="K335" i="269"/>
  <c r="M335" i="269"/>
  <c r="O335" i="269" s="1"/>
  <c r="S335" i="269"/>
  <c r="N335" i="269" s="1"/>
  <c r="P335" i="269" s="1"/>
  <c r="S360" i="269"/>
  <c r="U360" i="269" s="1"/>
  <c r="M360" i="269"/>
  <c r="O360" i="269" s="1"/>
  <c r="P701" i="269"/>
  <c r="M704" i="269"/>
  <c r="S704" i="269" s="1"/>
  <c r="U704" i="269" s="1"/>
  <c r="J336" i="269"/>
  <c r="P325" i="269"/>
  <c r="Q461" i="269"/>
  <c r="U673" i="269"/>
  <c r="L3126" i="270"/>
  <c r="S396" i="269" s="1"/>
  <c r="M396" i="269" s="1"/>
  <c r="O396" i="269" s="1"/>
  <c r="L2959" i="270"/>
  <c r="L4947" i="270"/>
  <c r="S634" i="269" s="1"/>
  <c r="L4756" i="270"/>
  <c r="I692" i="269" s="1"/>
  <c r="L4536" i="270"/>
  <c r="S535" i="269" s="1"/>
  <c r="M535" i="269" s="1"/>
  <c r="O535" i="269" s="1"/>
  <c r="L4432" i="270"/>
  <c r="L4411" i="270"/>
  <c r="S531" i="269" s="1"/>
  <c r="M531" i="269" s="1"/>
  <c r="O531" i="269" s="1"/>
  <c r="L4327" i="270"/>
  <c r="S527" i="269" s="1"/>
  <c r="U527" i="269" s="1"/>
  <c r="L2955" i="270"/>
  <c r="L392" i="270"/>
  <c r="L2957" i="270"/>
  <c r="L3696" i="270"/>
  <c r="S405" i="269" s="1"/>
  <c r="M405" i="269" s="1"/>
  <c r="O405" i="269" s="1"/>
  <c r="L2954" i="270"/>
  <c r="L2958" i="270"/>
  <c r="L3239" i="270"/>
  <c r="S397" i="269" s="1"/>
  <c r="U397" i="269" s="1"/>
  <c r="S303" i="269"/>
  <c r="N303" i="269" s="1"/>
  <c r="P303" i="269" s="1"/>
  <c r="L2106" i="270"/>
  <c r="S183" i="269" s="1"/>
  <c r="N183" i="269" s="1"/>
  <c r="P183" i="269" s="1"/>
  <c r="L3032" i="270"/>
  <c r="K704" i="269"/>
  <c r="L2965" i="270"/>
  <c r="L400" i="270"/>
  <c r="L3027" i="270"/>
  <c r="L1451" i="270"/>
  <c r="L2961" i="270"/>
  <c r="L1003" i="270"/>
  <c r="S55" i="269" s="1"/>
  <c r="U55" i="269" s="1"/>
  <c r="L2835" i="270"/>
  <c r="L362" i="270"/>
  <c r="L2966" i="270"/>
  <c r="L2971" i="270"/>
  <c r="L2964" i="270"/>
  <c r="L2972" i="270"/>
  <c r="Q154" i="269"/>
  <c r="L2973" i="270"/>
  <c r="L2832" i="270"/>
  <c r="L3029" i="270"/>
  <c r="L2969" i="270"/>
  <c r="L2851" i="270"/>
  <c r="L2924" i="270"/>
  <c r="L2943" i="270"/>
  <c r="L2970" i="270"/>
  <c r="L2046" i="270"/>
  <c r="S179" i="269" s="1"/>
  <c r="M179" i="269" s="1"/>
  <c r="O179" i="269" s="1"/>
  <c r="L3744" i="270"/>
  <c r="S410" i="269" s="1"/>
  <c r="L1429" i="270"/>
  <c r="L4296" i="270"/>
  <c r="N450" i="269" s="1"/>
  <c r="P450" i="269" s="1"/>
  <c r="L3776" i="270"/>
  <c r="S412" i="269" s="1"/>
  <c r="M412" i="269" s="1"/>
  <c r="O412" i="269" s="1"/>
  <c r="L3733" i="270"/>
  <c r="L5097" i="270"/>
  <c r="S642" i="269" s="1"/>
  <c r="U642" i="269" s="1"/>
  <c r="L1744" i="270"/>
  <c r="S172" i="269" s="1"/>
  <c r="M172" i="269" s="1"/>
  <c r="O172" i="269" s="1"/>
  <c r="L2312" i="270"/>
  <c r="S201" i="269" s="1"/>
  <c r="U201" i="269" s="1"/>
  <c r="L2190" i="270"/>
  <c r="I343" i="269" s="1"/>
  <c r="L3845" i="270"/>
  <c r="S417" i="269" s="1"/>
  <c r="N417" i="269" s="1"/>
  <c r="P417" i="269" s="1"/>
  <c r="L2531" i="270"/>
  <c r="S292" i="269" s="1"/>
  <c r="U292" i="269" s="1"/>
  <c r="L3893" i="270"/>
  <c r="S421" i="269" s="1"/>
  <c r="M421" i="269" s="1"/>
  <c r="O421" i="269" s="1"/>
  <c r="L2641" i="270"/>
  <c r="S302" i="269" s="1"/>
  <c r="M302" i="269" s="1"/>
  <c r="O302" i="269" s="1"/>
  <c r="L226" i="270"/>
  <c r="L405" i="270"/>
  <c r="L348" i="270"/>
  <c r="L2834" i="270"/>
  <c r="L2325" i="270"/>
  <c r="S202" i="269" s="1"/>
  <c r="M202" i="269" s="1"/>
  <c r="O202" i="269" s="1"/>
  <c r="L4237" i="270"/>
  <c r="S444" i="269" s="1"/>
  <c r="M444" i="269" s="1"/>
  <c r="O444" i="269" s="1"/>
  <c r="L1652" i="270"/>
  <c r="L3821" i="270"/>
  <c r="S415" i="269" s="1"/>
  <c r="N415" i="269" s="1"/>
  <c r="P415" i="269" s="1"/>
  <c r="L948" i="270"/>
  <c r="S49" i="269" s="1"/>
  <c r="M49" i="269" s="1"/>
  <c r="O49" i="269" s="1"/>
  <c r="L5166" i="270"/>
  <c r="S648" i="269" s="1"/>
  <c r="M648" i="269" s="1"/>
  <c r="O648" i="269" s="1"/>
  <c r="L288" i="270"/>
  <c r="L2631" i="270"/>
  <c r="S301" i="269" s="1"/>
  <c r="U301" i="269" s="1"/>
  <c r="L191" i="270"/>
  <c r="L1172" i="270"/>
  <c r="N68" i="269" s="1"/>
  <c r="P68" i="269" s="1"/>
  <c r="L1121" i="270"/>
  <c r="S64" i="269" s="1"/>
  <c r="U64" i="269" s="1"/>
  <c r="L4347" i="270"/>
  <c r="S528" i="269" s="1"/>
  <c r="U528" i="269" s="1"/>
  <c r="L131" i="270"/>
  <c r="S30" i="269" s="1"/>
  <c r="U30" i="269" s="1"/>
  <c r="L4708" i="270"/>
  <c r="S543" i="269" s="1"/>
  <c r="U543" i="269" s="1"/>
  <c r="L337" i="270"/>
  <c r="L338" i="270"/>
  <c r="L402" i="270"/>
  <c r="L355" i="270"/>
  <c r="L351" i="270"/>
  <c r="L2983" i="270"/>
  <c r="L3833" i="270"/>
  <c r="S416" i="269" s="1"/>
  <c r="N416" i="269" s="1"/>
  <c r="P416" i="269" s="1"/>
  <c r="L1482" i="270"/>
  <c r="S86" i="269" s="1"/>
  <c r="M86" i="269" s="1"/>
  <c r="O86" i="269" s="1"/>
  <c r="L2753" i="270"/>
  <c r="S381" i="269" s="1"/>
  <c r="M381" i="269" s="1"/>
  <c r="O381" i="269" s="1"/>
  <c r="L119" i="270"/>
  <c r="S29" i="269" s="1"/>
  <c r="U29" i="269" s="1"/>
  <c r="J4432" i="270"/>
  <c r="L2453" i="270"/>
  <c r="S286" i="269" s="1"/>
  <c r="N286" i="269" s="1"/>
  <c r="P286" i="269" s="1"/>
  <c r="L1651" i="270"/>
  <c r="L2213" i="270"/>
  <c r="L3869" i="270"/>
  <c r="S419" i="269" s="1"/>
  <c r="M419" i="269" s="1"/>
  <c r="O419" i="269" s="1"/>
  <c r="L3010" i="270"/>
  <c r="L1083" i="270"/>
  <c r="S61" i="269" s="1"/>
  <c r="N61" i="269" s="1"/>
  <c r="P61" i="269" s="1"/>
  <c r="U641" i="269"/>
  <c r="Q596" i="269"/>
  <c r="Q626" i="269"/>
  <c r="D3881" i="270"/>
  <c r="Q586" i="269"/>
  <c r="Q479" i="269"/>
  <c r="D979" i="270"/>
  <c r="Q523" i="269"/>
  <c r="K703" i="269"/>
  <c r="Q231" i="269"/>
  <c r="Q227" i="269"/>
  <c r="Q219" i="269"/>
  <c r="U698" i="269"/>
  <c r="Q598" i="269"/>
  <c r="L353" i="270"/>
  <c r="L1107" i="270"/>
  <c r="S63" i="269" s="1"/>
  <c r="N63" i="269" s="1"/>
  <c r="P63" i="269" s="1"/>
  <c r="L361" i="270"/>
  <c r="L2962" i="270"/>
  <c r="L4822" i="270"/>
  <c r="L932" i="270"/>
  <c r="S48" i="269" s="1"/>
  <c r="U48" i="269" s="1"/>
  <c r="L4732" i="270"/>
  <c r="S545" i="269" s="1"/>
  <c r="M545" i="269" s="1"/>
  <c r="O545" i="269" s="1"/>
  <c r="L298" i="270"/>
  <c r="L367" i="270"/>
  <c r="L2833" i="270"/>
  <c r="L1145" i="270"/>
  <c r="S66" i="269" s="1"/>
  <c r="M66" i="269" s="1"/>
  <c r="O66" i="269" s="1"/>
  <c r="L2348" i="270"/>
  <c r="L2178" i="270"/>
  <c r="S188" i="269" s="1"/>
  <c r="N188" i="269" s="1"/>
  <c r="P188" i="269" s="1"/>
  <c r="L4834" i="270"/>
  <c r="S555" i="269" s="1"/>
  <c r="N555" i="269" s="1"/>
  <c r="P555" i="269" s="1"/>
  <c r="L992" i="270"/>
  <c r="S54" i="269" s="1"/>
  <c r="U54" i="269" s="1"/>
  <c r="L3765" i="270"/>
  <c r="S411" i="269" s="1"/>
  <c r="U411" i="269" s="1"/>
  <c r="L164" i="270"/>
  <c r="L360" i="270"/>
  <c r="L2960" i="270"/>
  <c r="K360" i="269"/>
  <c r="L961" i="270"/>
  <c r="S50" i="269" s="1"/>
  <c r="N50" i="269" s="1"/>
  <c r="P50" i="269" s="1"/>
  <c r="L2543" i="270"/>
  <c r="S293" i="269" s="1"/>
  <c r="U293" i="269" s="1"/>
  <c r="L1021" i="270"/>
  <c r="S56" i="269" s="1"/>
  <c r="N56" i="269" s="1"/>
  <c r="P56" i="269" s="1"/>
  <c r="Q258" i="269"/>
  <c r="U68" i="269"/>
  <c r="M68" i="269"/>
  <c r="O68" i="269" s="1"/>
  <c r="P632" i="269"/>
  <c r="Q609" i="269"/>
  <c r="K669" i="269"/>
  <c r="K673" i="269" s="1"/>
  <c r="Q469" i="269"/>
  <c r="Q587" i="269"/>
  <c r="D874" i="270"/>
  <c r="Q157" i="269"/>
  <c r="Q153" i="269"/>
  <c r="Q116" i="269"/>
  <c r="Q114" i="269"/>
  <c r="Q612" i="269"/>
  <c r="Q608" i="269"/>
  <c r="Q592" i="269"/>
  <c r="Q652" i="269"/>
  <c r="Q380" i="269"/>
  <c r="Q129" i="269"/>
  <c r="Q120" i="269"/>
  <c r="Q240" i="269"/>
  <c r="U24" i="269"/>
  <c r="P669" i="269"/>
  <c r="Q222" i="269"/>
  <c r="Q497" i="269"/>
  <c r="Q113" i="269"/>
  <c r="Q263" i="269"/>
  <c r="T675" i="269"/>
  <c r="P675" i="269"/>
  <c r="P676" i="269" s="1"/>
  <c r="Q223" i="269"/>
  <c r="Q486" i="269"/>
  <c r="Q577" i="269"/>
  <c r="Q571" i="269"/>
  <c r="Q582" i="269"/>
  <c r="D2503" i="270"/>
  <c r="J1121" i="270"/>
  <c r="J1197" i="270"/>
  <c r="J1659" i="270"/>
  <c r="Q123" i="269"/>
  <c r="Q151" i="269"/>
  <c r="J2325" i="270"/>
  <c r="Q591" i="269"/>
  <c r="D3571" i="270"/>
  <c r="D2753" i="270"/>
  <c r="D4456" i="270"/>
  <c r="D3857" i="270"/>
  <c r="D3893" i="270"/>
  <c r="D35" i="270"/>
  <c r="Q65" i="269"/>
  <c r="K661" i="269"/>
  <c r="J2762" i="270"/>
  <c r="Q102" i="269"/>
  <c r="Q504" i="269"/>
  <c r="Q488" i="269"/>
  <c r="D1107" i="270"/>
  <c r="D415" i="270"/>
  <c r="D489" i="270"/>
  <c r="J47" i="270"/>
  <c r="J2610" i="270"/>
  <c r="D4569" i="270"/>
  <c r="D961" i="270"/>
  <c r="Q498" i="269"/>
  <c r="Q237" i="269"/>
  <c r="Q501" i="269"/>
  <c r="Q250" i="269"/>
  <c r="Q45" i="269"/>
  <c r="Q554" i="269"/>
  <c r="J2518" i="270"/>
  <c r="D2651" i="270"/>
  <c r="Q135" i="269"/>
  <c r="Q254" i="269"/>
  <c r="Q456" i="269"/>
  <c r="K325" i="269"/>
  <c r="K326" i="269" s="1"/>
  <c r="K628" i="269"/>
  <c r="Q328" i="269"/>
  <c r="Q332" i="269" s="1"/>
  <c r="Q508" i="269"/>
  <c r="Q503" i="269"/>
  <c r="D1385" i="270"/>
  <c r="D1033" i="270"/>
  <c r="Q108" i="269"/>
  <c r="Q248" i="269"/>
  <c r="Q465" i="269"/>
  <c r="Q603" i="269"/>
  <c r="Q597" i="269"/>
  <c r="Q438" i="269"/>
  <c r="Q420" i="269"/>
  <c r="J1619" i="270"/>
  <c r="U654" i="269"/>
  <c r="Q147" i="269"/>
  <c r="Q257" i="269"/>
  <c r="Q156" i="269"/>
  <c r="Q671" i="269"/>
  <c r="Q125" i="269"/>
  <c r="Q230" i="269"/>
  <c r="Q392" i="269"/>
  <c r="Q143" i="269"/>
  <c r="Q221" i="269"/>
  <c r="Q90" i="269"/>
  <c r="Q133" i="269"/>
  <c r="J4935" i="270"/>
  <c r="Q400" i="269"/>
  <c r="Q163" i="269"/>
  <c r="Q159" i="269"/>
  <c r="Q146" i="269"/>
  <c r="Q142" i="269"/>
  <c r="Q128" i="269"/>
  <c r="Q524" i="269"/>
  <c r="Q471" i="269"/>
  <c r="Q617" i="269"/>
  <c r="D3094" i="270"/>
  <c r="U94" i="269"/>
  <c r="Q141" i="269"/>
  <c r="Q215" i="269"/>
  <c r="Q516" i="269"/>
  <c r="Q505" i="269"/>
  <c r="Q466" i="269"/>
  <c r="Q622" i="269"/>
  <c r="Q472" i="269"/>
  <c r="Q255" i="269"/>
  <c r="Q607" i="269"/>
  <c r="K275" i="269"/>
  <c r="J1501" i="270"/>
  <c r="Q127" i="269"/>
  <c r="Q253" i="269"/>
  <c r="Q232" i="269"/>
  <c r="Q214" i="269"/>
  <c r="Q509" i="269"/>
  <c r="Q492" i="269"/>
  <c r="Q269" i="269"/>
  <c r="Q103" i="269"/>
  <c r="Q109" i="269"/>
  <c r="Q251" i="269"/>
  <c r="Q229" i="269"/>
  <c r="Q590" i="269"/>
  <c r="J4075" i="270"/>
  <c r="Q489" i="269"/>
  <c r="D2566" i="270"/>
  <c r="J948" i="270"/>
  <c r="U512" i="269"/>
  <c r="Q165" i="269"/>
  <c r="Q136" i="269"/>
  <c r="Q236" i="269"/>
  <c r="Q319" i="269"/>
  <c r="P323" i="269"/>
  <c r="Q490" i="269"/>
  <c r="Q212" i="269"/>
  <c r="Q105" i="269"/>
  <c r="Q585" i="269"/>
  <c r="Q124" i="269"/>
  <c r="J4798" i="270"/>
  <c r="D1319" i="270"/>
  <c r="D3776" i="270"/>
  <c r="D932" i="270"/>
  <c r="U205" i="269"/>
  <c r="Q518" i="269"/>
  <c r="Q483" i="269"/>
  <c r="Q473" i="269"/>
  <c r="Q670" i="269"/>
  <c r="Q164" i="269"/>
  <c r="Q211" i="269"/>
  <c r="K39" i="269"/>
  <c r="J4237" i="270"/>
  <c r="U281" i="269"/>
  <c r="J2046" i="270"/>
  <c r="Q226" i="269"/>
  <c r="Q217" i="269"/>
  <c r="U325" i="269"/>
  <c r="U326" i="269" s="1"/>
  <c r="K348" i="269"/>
  <c r="S185" i="269"/>
  <c r="M185" i="269" s="1"/>
  <c r="O185" i="269" s="1"/>
  <c r="S186" i="269"/>
  <c r="N186" i="269" s="1"/>
  <c r="P186" i="269" s="1"/>
  <c r="D2396" i="270"/>
  <c r="L365" i="270"/>
  <c r="L4810" i="270"/>
  <c r="S553" i="269" s="1"/>
  <c r="M553" i="269" s="1"/>
  <c r="O553" i="269" s="1"/>
  <c r="L359" i="270"/>
  <c r="J2418" i="270"/>
  <c r="D143" i="270"/>
  <c r="L3906" i="270"/>
  <c r="D2250" i="270"/>
  <c r="L4252" i="270"/>
  <c r="S445" i="269" s="1"/>
  <c r="M445" i="269" s="1"/>
  <c r="O445" i="269" s="1"/>
  <c r="L2396" i="270"/>
  <c r="S279" i="269" s="1"/>
  <c r="M279" i="269" s="1"/>
  <c r="O279" i="269" s="1"/>
  <c r="J2154" i="270"/>
  <c r="D4770" i="270"/>
  <c r="D4308" i="270"/>
  <c r="J461" i="270"/>
  <c r="L587" i="270"/>
  <c r="S42" i="269" s="1"/>
  <c r="N42" i="269" s="1"/>
  <c r="P42" i="269" s="1"/>
  <c r="L4674" i="270"/>
  <c r="S541" i="269" s="1"/>
  <c r="N541" i="269" s="1"/>
  <c r="P541" i="269" s="1"/>
  <c r="L4111" i="270"/>
  <c r="S436" i="269" s="1"/>
  <c r="M436" i="269" s="1"/>
  <c r="O436" i="269" s="1"/>
  <c r="L357" i="270"/>
  <c r="L1058" i="270"/>
  <c r="S59" i="269" s="1"/>
  <c r="M59" i="269" s="1"/>
  <c r="O59" i="269" s="1"/>
  <c r="L3788" i="270"/>
  <c r="S413" i="269" s="1"/>
  <c r="M413" i="269" s="1"/>
  <c r="O413" i="269" s="1"/>
  <c r="L1046" i="270"/>
  <c r="S58" i="269" s="1"/>
  <c r="N58" i="269" s="1"/>
  <c r="P58" i="269" s="1"/>
  <c r="L143" i="270"/>
  <c r="S31" i="269" s="1"/>
  <c r="N31" i="269" s="1"/>
  <c r="P31" i="269" s="1"/>
  <c r="L314" i="270"/>
  <c r="D2383" i="270"/>
  <c r="D2543" i="270"/>
  <c r="D1535" i="270"/>
  <c r="D2671" i="270"/>
  <c r="L2275" i="270"/>
  <c r="S198" i="269" s="1"/>
  <c r="N198" i="269" s="1"/>
  <c r="P198" i="269" s="1"/>
  <c r="L224" i="270"/>
  <c r="J2106" i="270"/>
  <c r="L1433" i="270"/>
  <c r="L842" i="270"/>
  <c r="S46" i="269" s="1"/>
  <c r="M46" i="269" s="1"/>
  <c r="O46" i="269" s="1"/>
  <c r="L4144" i="270"/>
  <c r="I686" i="269" s="1"/>
  <c r="J3833" i="270"/>
  <c r="D2774" i="270"/>
  <c r="L218" i="270"/>
  <c r="L5177" i="270"/>
  <c r="S649" i="269" s="1"/>
  <c r="N649" i="269" s="1"/>
  <c r="P649" i="269" s="1"/>
  <c r="L35" i="270"/>
  <c r="S23" i="269" s="1"/>
  <c r="N23" i="269" s="1"/>
  <c r="P23" i="269" s="1"/>
  <c r="L349" i="270"/>
  <c r="L1447" i="270"/>
  <c r="L5058" i="270"/>
  <c r="S639" i="269" s="1"/>
  <c r="U639" i="269" s="1"/>
  <c r="L2250" i="270"/>
  <c r="S196" i="269" s="1"/>
  <c r="U196" i="269" s="1"/>
  <c r="L1435" i="270"/>
  <c r="D3821" i="270"/>
  <c r="D3733" i="270"/>
  <c r="L356" i="270"/>
  <c r="D4266" i="270"/>
  <c r="D1306" i="270"/>
  <c r="D2531" i="270"/>
  <c r="J2061" i="270"/>
  <c r="L2142" i="270"/>
  <c r="L2262" i="270"/>
  <c r="S197" i="269" s="1"/>
  <c r="M197" i="269" s="1"/>
  <c r="O197" i="269" s="1"/>
  <c r="L4209" i="270"/>
  <c r="S442" i="269" s="1"/>
  <c r="N442" i="269" s="1"/>
  <c r="P442" i="269" s="1"/>
  <c r="L166" i="270"/>
  <c r="L425" i="270"/>
  <c r="L2166" i="270"/>
  <c r="S187" i="269" s="1"/>
  <c r="M187" i="269" s="1"/>
  <c r="O187" i="269" s="1"/>
  <c r="L1071" i="270"/>
  <c r="S60" i="269" s="1"/>
  <c r="L3681" i="270"/>
  <c r="S404" i="269" s="1"/>
  <c r="U404" i="269" s="1"/>
  <c r="L339" i="270"/>
  <c r="L2337" i="270"/>
  <c r="L4846" i="270"/>
  <c r="S556" i="269" s="1"/>
  <c r="U556" i="269" s="1"/>
  <c r="D1707" i="270"/>
  <c r="D4127" i="270"/>
  <c r="L2238" i="270"/>
  <c r="S195" i="269" s="1"/>
  <c r="U195" i="269" s="1"/>
  <c r="L1385" i="270"/>
  <c r="S81" i="269" s="1"/>
  <c r="N81" i="269" s="1"/>
  <c r="P81" i="269" s="1"/>
  <c r="L1133" i="270"/>
  <c r="L100" i="270"/>
  <c r="S28" i="269" s="1"/>
  <c r="M28" i="269" s="1"/>
  <c r="O28" i="269" s="1"/>
  <c r="L4696" i="270"/>
  <c r="S542" i="269" s="1"/>
  <c r="M542" i="269" s="1"/>
  <c r="O542" i="269" s="1"/>
  <c r="L4770" i="270"/>
  <c r="N656" i="269"/>
  <c r="P656" i="269" s="1"/>
  <c r="U656" i="269"/>
  <c r="M656" i="269"/>
  <c r="O656" i="269" s="1"/>
  <c r="L1408" i="270"/>
  <c r="S82" i="269" s="1"/>
  <c r="N82" i="269" s="1"/>
  <c r="P82" i="269" s="1"/>
  <c r="N647" i="269"/>
  <c r="P647" i="269" s="1"/>
  <c r="M647" i="269"/>
  <c r="O647" i="269" s="1"/>
  <c r="U440" i="269"/>
  <c r="N440" i="269"/>
  <c r="P440" i="269" s="1"/>
  <c r="M440" i="269"/>
  <c r="O440" i="269" s="1"/>
  <c r="N305" i="269"/>
  <c r="P305" i="269" s="1"/>
  <c r="M305" i="269"/>
  <c r="O305" i="269" s="1"/>
  <c r="L3499" i="270"/>
  <c r="I675" i="269" s="1"/>
  <c r="L3309" i="270"/>
  <c r="S398" i="269" s="1"/>
  <c r="M398" i="269" s="1"/>
  <c r="O398" i="269" s="1"/>
  <c r="M280" i="269"/>
  <c r="O280" i="269" s="1"/>
  <c r="U280" i="269"/>
  <c r="L3597" i="270"/>
  <c r="S402" i="269" s="1"/>
  <c r="U402" i="269" s="1"/>
  <c r="L1514" i="270"/>
  <c r="S88" i="269" s="1"/>
  <c r="N88" i="269" s="1"/>
  <c r="P88" i="269" s="1"/>
  <c r="L625" i="270"/>
  <c r="S43" i="269" s="1"/>
  <c r="N43" i="269" s="1"/>
  <c r="P43" i="269" s="1"/>
  <c r="M403" i="269"/>
  <c r="O403" i="269" s="1"/>
  <c r="N403" i="269"/>
  <c r="P403" i="269" s="1"/>
  <c r="M277" i="269"/>
  <c r="O277" i="269" s="1"/>
  <c r="N277" i="269"/>
  <c r="P277" i="269" s="1"/>
  <c r="D4885" i="270"/>
  <c r="L1632" i="270"/>
  <c r="S98" i="269" s="1"/>
  <c r="U98" i="269" s="1"/>
  <c r="L979" i="270"/>
  <c r="S51" i="269" s="1"/>
  <c r="L4923" i="270"/>
  <c r="S562" i="269" s="1"/>
  <c r="U562" i="269" s="1"/>
  <c r="L4002" i="270"/>
  <c r="S428" i="269" s="1"/>
  <c r="M428" i="269" s="1"/>
  <c r="O428" i="269" s="1"/>
  <c r="L3962" i="270"/>
  <c r="S427" i="269" s="1"/>
  <c r="U427" i="269" s="1"/>
  <c r="L3918" i="270"/>
  <c r="S425" i="269" s="1"/>
  <c r="N425" i="269" s="1"/>
  <c r="P425" i="269" s="1"/>
  <c r="L3857" i="270"/>
  <c r="S418" i="269" s="1"/>
  <c r="U418" i="269" s="1"/>
  <c r="L5073" i="270"/>
  <c r="S640" i="269" s="1"/>
  <c r="U640" i="269" s="1"/>
  <c r="D100" i="270"/>
  <c r="L239" i="270"/>
  <c r="L1583" i="270"/>
  <c r="S92" i="269" s="1"/>
  <c r="N92" i="269" s="1"/>
  <c r="P92" i="269" s="1"/>
  <c r="D1145" i="270"/>
  <c r="L1619" i="270"/>
  <c r="S97" i="269" s="1"/>
  <c r="N97" i="269" s="1"/>
  <c r="P97" i="269" s="1"/>
  <c r="L1600" i="270"/>
  <c r="S93" i="269" s="1"/>
  <c r="N93" i="269" s="1"/>
  <c r="P93" i="269" s="1"/>
  <c r="L2439" i="270"/>
  <c r="S285" i="269" s="1"/>
  <c r="M285" i="269" s="1"/>
  <c r="O285" i="269" s="1"/>
  <c r="L4308" i="270"/>
  <c r="S451" i="269" s="1"/>
  <c r="L4046" i="270"/>
  <c r="S430" i="269" s="1"/>
  <c r="N430" i="269" s="1"/>
  <c r="P430" i="269" s="1"/>
  <c r="L1957" i="270"/>
  <c r="S178" i="269" s="1"/>
  <c r="N178" i="269" s="1"/>
  <c r="P178" i="269" s="1"/>
  <c r="L4266" i="270"/>
  <c r="S446" i="269" s="1"/>
  <c r="N446" i="269" s="1"/>
  <c r="P446" i="269" s="1"/>
  <c r="D2453" i="270"/>
  <c r="L2299" i="270"/>
  <c r="S200" i="269" s="1"/>
  <c r="M200" i="269" s="1"/>
  <c r="O200" i="269" s="1"/>
  <c r="L1359" i="270"/>
  <c r="S77" i="269" s="1"/>
  <c r="U77" i="269" s="1"/>
  <c r="L308" i="270"/>
  <c r="L4075" i="270"/>
  <c r="S434" i="269" s="1"/>
  <c r="N434" i="269" s="1"/>
  <c r="P434" i="269" s="1"/>
  <c r="D625" i="270"/>
  <c r="L2383" i="270"/>
  <c r="S278" i="269" s="1"/>
  <c r="N278" i="269" s="1"/>
  <c r="P278" i="269" s="1"/>
  <c r="L4720" i="270"/>
  <c r="S544" i="269" s="1"/>
  <c r="M544" i="269" s="1"/>
  <c r="O544" i="269" s="1"/>
  <c r="L4982" i="270"/>
  <c r="S635" i="269" s="1"/>
  <c r="U635" i="269" s="1"/>
  <c r="L2599" i="270"/>
  <c r="S298" i="269" s="1"/>
  <c r="N298" i="269" s="1"/>
  <c r="P298" i="269" s="1"/>
  <c r="J3396" i="270"/>
  <c r="J1058" i="270"/>
  <c r="N281" i="269"/>
  <c r="P281" i="269" s="1"/>
  <c r="D4096" i="270"/>
  <c r="L2226" i="270"/>
  <c r="S194" i="269" s="1"/>
  <c r="M194" i="269" s="1"/>
  <c r="O194" i="269" s="1"/>
  <c r="L1775" i="270"/>
  <c r="S174" i="269" s="1"/>
  <c r="M174" i="269" s="1"/>
  <c r="O174" i="269" s="1"/>
  <c r="L307" i="270"/>
  <c r="L4909" i="270"/>
  <c r="S561" i="269" s="1"/>
  <c r="N561" i="269" s="1"/>
  <c r="P561" i="269" s="1"/>
  <c r="L4798" i="270"/>
  <c r="L273" i="270"/>
  <c r="L193" i="270"/>
  <c r="L2503" i="270"/>
  <c r="S290" i="269" s="1"/>
  <c r="U290" i="269" s="1"/>
  <c r="L4784" i="270"/>
  <c r="L4897" i="270"/>
  <c r="S560" i="269" s="1"/>
  <c r="U560" i="269" s="1"/>
  <c r="L4127" i="270"/>
  <c r="S437" i="269" s="1"/>
  <c r="N437" i="269" s="1"/>
  <c r="P437" i="269" s="1"/>
  <c r="L59" i="270"/>
  <c r="S25" i="269" s="1"/>
  <c r="U25" i="269" s="1"/>
  <c r="L686" i="270"/>
  <c r="S44" i="269" s="1"/>
  <c r="U44" i="269" s="1"/>
  <c r="L1682" i="270"/>
  <c r="S170" i="269" s="1"/>
  <c r="M170" i="269" s="1"/>
  <c r="O170" i="269" s="1"/>
  <c r="M281" i="269"/>
  <c r="O281" i="269" s="1"/>
  <c r="L2129" i="270"/>
  <c r="S184" i="269" s="1"/>
  <c r="U184" i="269" s="1"/>
  <c r="S73" i="269"/>
  <c r="N73" i="269" s="1"/>
  <c r="P73" i="269" s="1"/>
  <c r="L4885" i="270"/>
  <c r="S559" i="269" s="1"/>
  <c r="L440" i="270"/>
  <c r="L350" i="270"/>
  <c r="L354" i="270"/>
  <c r="L1033" i="270"/>
  <c r="U57" i="269" s="1"/>
  <c r="L1454" i="270"/>
  <c r="L84" i="270"/>
  <c r="S27" i="269" s="1"/>
  <c r="M27" i="269" s="1"/>
  <c r="O27" i="269" s="1"/>
  <c r="S532" i="269"/>
  <c r="U532" i="269" s="1"/>
  <c r="D2166" i="270"/>
  <c r="D4744" i="270"/>
  <c r="J4399" i="270"/>
  <c r="D4368" i="270"/>
  <c r="J4164" i="270"/>
  <c r="J1644" i="270"/>
  <c r="J4209" i="270"/>
  <c r="J3239" i="270"/>
  <c r="J1441" i="270"/>
  <c r="J1157" i="270"/>
  <c r="J1424" i="270"/>
  <c r="L2287" i="270"/>
  <c r="S199" i="269" s="1"/>
  <c r="M199" i="269" s="1"/>
  <c r="O199" i="269" s="1"/>
  <c r="L1306" i="270"/>
  <c r="L3881" i="270"/>
  <c r="I678" i="269" s="1"/>
  <c r="M678" i="269" s="1"/>
  <c r="O678" i="269" s="1"/>
  <c r="L275" i="270"/>
  <c r="L5259" i="270"/>
  <c r="S659" i="269" s="1"/>
  <c r="N659" i="269" s="1"/>
  <c r="P659" i="269" s="1"/>
  <c r="L2914" i="270"/>
  <c r="L2466" i="270"/>
  <c r="S287" i="269" s="1"/>
  <c r="N287" i="269" s="1"/>
  <c r="P287" i="269" s="1"/>
  <c r="U403" i="269"/>
  <c r="D2695" i="270"/>
  <c r="D2588" i="270"/>
  <c r="L294" i="270"/>
  <c r="L4492" i="270"/>
  <c r="S534" i="269" s="1"/>
  <c r="U534" i="269" s="1"/>
  <c r="L4399" i="270"/>
  <c r="S530" i="269" s="1"/>
  <c r="M530" i="269" s="1"/>
  <c r="O530" i="269" s="1"/>
  <c r="D2190" i="270"/>
  <c r="D4732" i="270"/>
  <c r="J1861" i="270"/>
  <c r="J4144" i="270"/>
  <c r="J3744" i="270"/>
  <c r="J4015" i="270"/>
  <c r="D1600" i="270"/>
  <c r="J4756" i="270"/>
  <c r="D2348" i="270"/>
  <c r="D2787" i="270"/>
  <c r="D4060" i="270"/>
  <c r="S74" i="269"/>
  <c r="M74" i="269" s="1"/>
  <c r="O74" i="269" s="1"/>
  <c r="J1133" i="270"/>
  <c r="L165" i="270"/>
  <c r="J3309" i="270"/>
  <c r="L1650" i="270"/>
  <c r="J3499" i="270"/>
  <c r="L1197" i="270"/>
  <c r="S72" i="269" s="1"/>
  <c r="M72" i="269" s="1"/>
  <c r="O72" i="269" s="1"/>
  <c r="L2799" i="270"/>
  <c r="S385" i="269" s="1"/>
  <c r="U385" i="269" s="1"/>
  <c r="D2359" i="270"/>
  <c r="D2427" i="270"/>
  <c r="D2577" i="270"/>
  <c r="N294" i="269"/>
  <c r="P294" i="269" s="1"/>
  <c r="Q294" i="269" s="1"/>
  <c r="J2599" i="270"/>
  <c r="D1459" i="270"/>
  <c r="D587" i="270"/>
  <c r="J84" i="270"/>
  <c r="D4226" i="270"/>
  <c r="L237" i="270"/>
  <c r="L2896" i="270"/>
  <c r="M87" i="269"/>
  <c r="O87" i="269" s="1"/>
  <c r="N87" i="269"/>
  <c r="P87" i="269" s="1"/>
  <c r="L2610" i="270"/>
  <c r="S299" i="269" s="1"/>
  <c r="U299" i="269" s="1"/>
  <c r="L461" i="270"/>
  <c r="S36" i="269" s="1"/>
  <c r="U644" i="269"/>
  <c r="M644" i="269"/>
  <c r="O644" i="269" s="1"/>
  <c r="N644" i="269"/>
  <c r="P644" i="269" s="1"/>
  <c r="J4347" i="270"/>
  <c r="D4347" i="270"/>
  <c r="D3931" i="270"/>
  <c r="J3931" i="270"/>
  <c r="L4456" i="270"/>
  <c r="S533" i="269" s="1"/>
  <c r="M533" i="269" s="1"/>
  <c r="O533" i="269" s="1"/>
  <c r="L4192" i="270"/>
  <c r="S441" i="269" s="1"/>
  <c r="L4569" i="270"/>
  <c r="S536" i="269" s="1"/>
  <c r="U536" i="269" s="1"/>
  <c r="D2491" i="270"/>
  <c r="J2491" i="270"/>
  <c r="U78" i="269"/>
  <c r="M78" i="269"/>
  <c r="O78" i="269" s="1"/>
  <c r="Q78" i="269" s="1"/>
  <c r="L5272" i="270"/>
  <c r="S660" i="269" s="1"/>
  <c r="N660" i="269" s="1"/>
  <c r="P660" i="269" s="1"/>
  <c r="L2682" i="270"/>
  <c r="S308" i="269" s="1"/>
  <c r="M308" i="269" s="1"/>
  <c r="O308" i="269" s="1"/>
  <c r="L1861" i="270"/>
  <c r="S176" i="269" s="1"/>
  <c r="L1807" i="270"/>
  <c r="S175" i="269" s="1"/>
  <c r="N175" i="269" s="1"/>
  <c r="P175" i="269" s="1"/>
  <c r="L489" i="270"/>
  <c r="S38" i="269" s="1"/>
  <c r="L3396" i="270"/>
  <c r="S399" i="269" s="1"/>
  <c r="N399" i="269" s="1"/>
  <c r="P399" i="269" s="1"/>
  <c r="L764" i="270"/>
  <c r="J2142" i="270"/>
  <c r="D2142" i="270"/>
  <c r="J2275" i="270"/>
  <c r="D2275" i="270"/>
  <c r="J2407" i="270"/>
  <c r="D2407" i="270"/>
  <c r="J2661" i="270"/>
  <c r="D2661" i="270"/>
  <c r="N645" i="269"/>
  <c r="P645" i="269" s="1"/>
  <c r="M645" i="269"/>
  <c r="O645" i="269" s="1"/>
  <c r="U645" i="269"/>
  <c r="U87" i="269"/>
  <c r="M289" i="269"/>
  <c r="O289" i="269" s="1"/>
  <c r="Q289" i="269" s="1"/>
  <c r="L874" i="270"/>
  <c r="S47" i="269" s="1"/>
  <c r="U47" i="269" s="1"/>
  <c r="L3931" i="270"/>
  <c r="S426" i="269" s="1"/>
  <c r="U426" i="269" s="1"/>
  <c r="L2061" i="270"/>
  <c r="S180" i="269" s="1"/>
  <c r="U180" i="269" s="1"/>
  <c r="M295" i="269"/>
  <c r="O295" i="269" s="1"/>
  <c r="U295" i="269"/>
  <c r="N295" i="269"/>
  <c r="P295" i="269" s="1"/>
  <c r="J1259" i="270"/>
  <c r="D1259" i="270"/>
  <c r="L3719" i="270"/>
  <c r="S406" i="269" s="1"/>
  <c r="U406" i="269" s="1"/>
  <c r="L3571" i="270"/>
  <c r="S401" i="269" s="1"/>
  <c r="U401" i="269" s="1"/>
  <c r="D504" i="270"/>
  <c r="J504" i="270"/>
  <c r="J3597" i="270"/>
  <c r="D3597" i="270"/>
  <c r="J4810" i="270"/>
  <c r="L4858" i="270"/>
  <c r="S557" i="269" s="1"/>
  <c r="M557" i="269" s="1"/>
  <c r="O557" i="269" s="1"/>
  <c r="S637" i="269"/>
  <c r="J2129" i="270"/>
  <c r="D2129" i="270"/>
  <c r="D4411" i="270"/>
  <c r="J4411" i="270"/>
  <c r="K685" i="269"/>
  <c r="U383" i="269"/>
  <c r="M383" i="269"/>
  <c r="O383" i="269" s="1"/>
  <c r="N383" i="269"/>
  <c r="P383" i="269" s="1"/>
  <c r="J2299" i="270"/>
  <c r="D2299" i="270"/>
  <c r="J4252" i="270"/>
  <c r="D4252" i="270"/>
  <c r="L4096" i="270"/>
  <c r="S435" i="269" s="1"/>
  <c r="N435" i="269" s="1"/>
  <c r="P435" i="269" s="1"/>
  <c r="J1583" i="270"/>
  <c r="D1583" i="270"/>
  <c r="L1659" i="270"/>
  <c r="S169" i="269" s="1"/>
  <c r="U169" i="269" s="1"/>
  <c r="L504" i="270"/>
  <c r="S41" i="269" s="1"/>
  <c r="M41" i="269" s="1"/>
  <c r="O41" i="269" s="1"/>
  <c r="L2762" i="270"/>
  <c r="S382" i="269" s="1"/>
  <c r="U382" i="269" s="1"/>
  <c r="L1566" i="270"/>
  <c r="S91" i="269" s="1"/>
  <c r="L1911" i="270"/>
  <c r="S177" i="269" s="1"/>
  <c r="M177" i="269" s="1"/>
  <c r="O177" i="269" s="1"/>
  <c r="L1184" i="270"/>
  <c r="S69" i="269" s="1"/>
  <c r="N69" i="269" s="1"/>
  <c r="P69" i="269" s="1"/>
  <c r="L4995" i="270"/>
  <c r="S636" i="269" s="1"/>
  <c r="L1756" i="270"/>
  <c r="S173" i="269" s="1"/>
  <c r="M173" i="269" s="1"/>
  <c r="O173" i="269" s="1"/>
  <c r="D4897" i="270"/>
  <c r="J4897" i="270"/>
  <c r="D4192" i="270"/>
  <c r="J4192" i="270"/>
  <c r="L2201" i="270"/>
  <c r="L4871" i="270"/>
  <c r="S558" i="269" s="1"/>
  <c r="U558" i="269" s="1"/>
  <c r="L238" i="270"/>
  <c r="L3094" i="270"/>
  <c r="S393" i="269" s="1"/>
  <c r="U393" i="269" s="1"/>
  <c r="D1359" i="270"/>
  <c r="L4639" i="270"/>
  <c r="S538" i="269" s="1"/>
  <c r="U538" i="269" s="1"/>
  <c r="L5108" i="270"/>
  <c r="S643" i="269" s="1"/>
  <c r="M643" i="269" s="1"/>
  <c r="O643" i="269" s="1"/>
  <c r="L366" i="270"/>
  <c r="L2963" i="270"/>
  <c r="U289" i="269"/>
  <c r="S171" i="269"/>
  <c r="L1459" i="270"/>
  <c r="L1535" i="270"/>
  <c r="S89" i="269" s="1"/>
  <c r="U89" i="269" s="1"/>
  <c r="L1095" i="270"/>
  <c r="S62" i="269" s="1"/>
  <c r="M62" i="269" s="1"/>
  <c r="O62" i="269" s="1"/>
  <c r="L4744" i="270"/>
  <c r="S546" i="269" s="1"/>
  <c r="L4164" i="270"/>
  <c r="S439" i="269" s="1"/>
  <c r="L1157" i="270"/>
  <c r="S67" i="269" s="1"/>
  <c r="M67" i="269" s="1"/>
  <c r="O67" i="269" s="1"/>
  <c r="L3001" i="270"/>
  <c r="L5046" i="270"/>
  <c r="S638" i="269" s="1"/>
  <c r="U638" i="269" s="1"/>
  <c r="L2621" i="270"/>
  <c r="S300" i="269" s="1"/>
  <c r="N300" i="269" s="1"/>
  <c r="P300" i="269" s="1"/>
  <c r="L3801" i="270"/>
  <c r="S414" i="269" s="1"/>
  <c r="U414" i="269" s="1"/>
  <c r="L10" i="270"/>
  <c r="S21" i="269" s="1"/>
  <c r="J3070" i="270"/>
  <c r="D2226" i="270"/>
  <c r="D4834" i="270"/>
  <c r="J4834" i="270"/>
  <c r="J2337" i="270"/>
  <c r="D2337" i="270"/>
  <c r="D4674" i="270"/>
  <c r="J4674" i="270"/>
  <c r="J3962" i="270"/>
  <c r="D3962" i="270"/>
  <c r="D4696" i="270"/>
  <c r="J4696" i="270"/>
  <c r="K167" i="269"/>
  <c r="N24" i="269"/>
  <c r="P24" i="269" s="1"/>
  <c r="M24" i="269"/>
  <c r="O24" i="269" s="1"/>
  <c r="U296" i="269"/>
  <c r="N296" i="269"/>
  <c r="P296" i="269" s="1"/>
  <c r="N384" i="269"/>
  <c r="P384" i="269" s="1"/>
  <c r="M384" i="269"/>
  <c r="O384" i="269" s="1"/>
  <c r="U384" i="269"/>
  <c r="N379" i="269"/>
  <c r="P379" i="269" s="1"/>
  <c r="M379" i="269"/>
  <c r="O379" i="269" s="1"/>
  <c r="U379" i="269"/>
  <c r="D131" i="270"/>
  <c r="J131" i="270"/>
  <c r="J842" i="270"/>
  <c r="D842" i="270"/>
  <c r="N390" i="269"/>
  <c r="P390" i="269" s="1"/>
  <c r="M390" i="269"/>
  <c r="O390" i="269" s="1"/>
  <c r="J2823" i="270"/>
  <c r="O275" i="269"/>
  <c r="Q273" i="269"/>
  <c r="K697" i="269"/>
  <c r="T697" i="269"/>
  <c r="U697" i="269" s="1"/>
  <c r="U352" i="269"/>
  <c r="K352" i="269"/>
  <c r="N460" i="269"/>
  <c r="P460" i="269" s="1"/>
  <c r="U460" i="269"/>
  <c r="Q148" i="269"/>
  <c r="Q510" i="269"/>
  <c r="Q616" i="269"/>
  <c r="Q107" i="269"/>
  <c r="Q218" i="269"/>
  <c r="Q515" i="269"/>
  <c r="Q130" i="269"/>
  <c r="Q519" i="269"/>
  <c r="Q455" i="269"/>
  <c r="J1775" i="270"/>
  <c r="D1775" i="270"/>
  <c r="Q160" i="269"/>
  <c r="Q239" i="269"/>
  <c r="K700" i="269"/>
  <c r="J1566" i="270"/>
  <c r="D1566" i="270"/>
  <c r="J3845" i="270"/>
  <c r="D3845" i="270"/>
  <c r="J1071" i="270"/>
  <c r="D1071" i="270"/>
  <c r="J2262" i="270"/>
  <c r="D2262" i="270"/>
  <c r="D4822" i="270"/>
  <c r="J1744" i="270"/>
  <c r="D4784" i="270"/>
  <c r="N654" i="269"/>
  <c r="P654" i="269" s="1"/>
  <c r="Q654" i="269" s="1"/>
  <c r="Q138" i="269"/>
  <c r="Q260" i="269"/>
  <c r="Q495" i="269"/>
  <c r="D4296" i="270"/>
  <c r="J4492" i="270"/>
  <c r="D4111" i="270"/>
  <c r="D156" i="270"/>
  <c r="J2731" i="270"/>
  <c r="J1911" i="270"/>
  <c r="D1911" i="270"/>
  <c r="J3869" i="270"/>
  <c r="D3869" i="270"/>
  <c r="Q155" i="269"/>
  <c r="Q242" i="269"/>
  <c r="U632" i="269"/>
  <c r="S699" i="269"/>
  <c r="N699" i="269" s="1"/>
  <c r="P699" i="269" s="1"/>
  <c r="Q699" i="269" s="1"/>
  <c r="D1172" i="270"/>
  <c r="J1172" i="270"/>
  <c r="D1370" i="270"/>
  <c r="J1370" i="270"/>
  <c r="D4923" i="270"/>
  <c r="D4283" i="270"/>
  <c r="D22" i="270"/>
  <c r="U288" i="269"/>
  <c r="N288" i="269"/>
  <c r="P288" i="269" s="1"/>
  <c r="Q288" i="269" s="1"/>
  <c r="N449" i="269"/>
  <c r="P449" i="269" s="1"/>
  <c r="M449" i="269"/>
  <c r="O449" i="269" s="1"/>
  <c r="J992" i="270"/>
  <c r="N391" i="269"/>
  <c r="P391" i="269" s="1"/>
  <c r="U391" i="269"/>
  <c r="M391" i="269"/>
  <c r="O391" i="269" s="1"/>
  <c r="N94" i="269"/>
  <c r="P94" i="269" s="1"/>
  <c r="M94" i="269"/>
  <c r="O94" i="269" s="1"/>
  <c r="Q208" i="269"/>
  <c r="Q268" i="269"/>
  <c r="Q454" i="269"/>
  <c r="Q580" i="269"/>
  <c r="Q630" i="269"/>
  <c r="J3906" i="270"/>
  <c r="D1756" i="270"/>
  <c r="D2621" i="270"/>
  <c r="U297" i="269"/>
  <c r="M297" i="269"/>
  <c r="O297" i="269" s="1"/>
  <c r="N297" i="269"/>
  <c r="P297" i="269" s="1"/>
  <c r="N646" i="269"/>
  <c r="P646" i="269" s="1"/>
  <c r="Q646" i="269" s="1"/>
  <c r="U646" i="269"/>
  <c r="D2682" i="270"/>
  <c r="Q166" i="269"/>
  <c r="Q507" i="269"/>
  <c r="Q320" i="269"/>
  <c r="Q85" i="269"/>
  <c r="J4639" i="270"/>
  <c r="D4639" i="270"/>
  <c r="J2238" i="270"/>
  <c r="J1003" i="270"/>
  <c r="D1003" i="270"/>
  <c r="J2439" i="270"/>
  <c r="D2439" i="270"/>
  <c r="M460" i="269"/>
  <c r="O460" i="269" s="1"/>
  <c r="O525" i="269" s="1"/>
  <c r="D4858" i="270"/>
  <c r="U294" i="269"/>
  <c r="U305" i="269"/>
  <c r="Q139" i="269"/>
  <c r="Q121" i="269"/>
  <c r="Q247" i="269"/>
  <c r="Q482" i="269"/>
  <c r="Q474" i="269"/>
  <c r="O703" i="269"/>
  <c r="S703" i="269"/>
  <c r="U703" i="269" s="1"/>
  <c r="M26" i="269"/>
  <c r="O26" i="269" s="1"/>
  <c r="Q26" i="269" s="1"/>
  <c r="K550" i="269"/>
  <c r="K306" i="269"/>
  <c r="U275" i="269"/>
  <c r="Q477" i="269"/>
  <c r="Q621" i="269"/>
  <c r="Q245" i="269"/>
  <c r="Q233" i="269"/>
  <c r="Q468" i="269"/>
  <c r="Q464" i="269"/>
  <c r="Q443" i="269"/>
  <c r="Q145" i="269"/>
  <c r="Q119" i="269"/>
  <c r="Q110" i="269"/>
  <c r="Q266" i="269"/>
  <c r="Q228" i="269"/>
  <c r="Q224" i="269"/>
  <c r="Q522" i="269"/>
  <c r="K423" i="269"/>
  <c r="K387" i="269"/>
  <c r="U26" i="269"/>
  <c r="J2213" i="270"/>
  <c r="Q265" i="269"/>
  <c r="Q619" i="269"/>
  <c r="Q651" i="269"/>
  <c r="K632" i="269"/>
  <c r="K525" i="269"/>
  <c r="K271" i="269"/>
  <c r="K657" i="269"/>
  <c r="K564" i="269"/>
  <c r="K452" i="269"/>
  <c r="K310" i="269"/>
  <c r="K283" i="269"/>
  <c r="K206" i="269"/>
  <c r="K181" i="269"/>
  <c r="K70" i="269"/>
  <c r="K52" i="269"/>
  <c r="K32" i="269"/>
  <c r="U647" i="269"/>
  <c r="Q140" i="269"/>
  <c r="P271" i="269"/>
  <c r="Q517" i="269"/>
  <c r="Q500" i="269"/>
  <c r="Q162" i="269"/>
  <c r="Q106" i="269"/>
  <c r="Q238" i="269"/>
  <c r="Q220" i="269"/>
  <c r="Q521" i="269"/>
  <c r="Q506" i="269"/>
  <c r="Q470" i="269"/>
  <c r="Q568" i="269"/>
  <c r="Q161" i="269"/>
  <c r="Q132" i="269"/>
  <c r="Q117" i="269"/>
  <c r="Q274" i="269"/>
  <c r="Q520" i="269"/>
  <c r="Q513" i="269"/>
  <c r="Q494" i="269"/>
  <c r="Q487" i="269"/>
  <c r="Q480" i="269"/>
  <c r="Q476" i="269"/>
  <c r="Q462" i="269"/>
  <c r="Q623" i="269"/>
  <c r="Q618" i="269"/>
  <c r="Q613" i="269"/>
  <c r="Q653" i="269"/>
  <c r="Q457" i="269"/>
  <c r="O325" i="269"/>
  <c r="O326" i="269" s="1"/>
  <c r="U348" i="269"/>
  <c r="N512" i="269"/>
  <c r="P512" i="269" s="1"/>
  <c r="Q512" i="269" s="1"/>
  <c r="Q104" i="269"/>
  <c r="Q131" i="269"/>
  <c r="Q112" i="269"/>
  <c r="Q243" i="269"/>
  <c r="Q611" i="269"/>
  <c r="Q575" i="269"/>
  <c r="P628" i="269"/>
  <c r="N386" i="269"/>
  <c r="P386" i="269" s="1"/>
  <c r="M386" i="269"/>
  <c r="O386" i="269" s="1"/>
  <c r="J1046" i="270"/>
  <c r="D1046" i="270"/>
  <c r="D1514" i="270"/>
  <c r="J1514" i="270"/>
  <c r="K684" i="269"/>
  <c r="D4536" i="270"/>
  <c r="J4536" i="270"/>
  <c r="Q264" i="269"/>
  <c r="Q246" i="269"/>
  <c r="Q210" i="269"/>
  <c r="D4846" i="270"/>
  <c r="J2312" i="270"/>
  <c r="U291" i="269"/>
  <c r="M291" i="269"/>
  <c r="O291" i="269" s="1"/>
  <c r="Q291" i="269" s="1"/>
  <c r="N641" i="269"/>
  <c r="P641" i="269" s="1"/>
  <c r="M641" i="269"/>
  <c r="O641" i="269" s="1"/>
  <c r="D119" i="270"/>
  <c r="J119" i="270"/>
  <c r="U386" i="269"/>
  <c r="J4002" i="270"/>
  <c r="D2631" i="270"/>
  <c r="D3801" i="270"/>
  <c r="J1632" i="270"/>
  <c r="D1632" i="270"/>
  <c r="D2178" i="270"/>
  <c r="J2178" i="270"/>
  <c r="K336" i="269"/>
  <c r="Q552" i="269"/>
  <c r="J4046" i="270"/>
  <c r="K624" i="269"/>
  <c r="N37" i="269"/>
  <c r="P37" i="269" s="1"/>
  <c r="M37" i="269"/>
  <c r="O37" i="269" s="1"/>
  <c r="O271" i="269"/>
  <c r="Q209" i="269"/>
  <c r="Q496" i="269"/>
  <c r="Q478" i="269"/>
  <c r="Q595" i="269"/>
  <c r="Q569" i="269"/>
  <c r="J1083" i="270"/>
  <c r="D1083" i="270"/>
  <c r="D2641" i="270"/>
  <c r="J2641" i="270"/>
  <c r="Q122" i="269"/>
  <c r="Q235" i="269"/>
  <c r="Q485" i="269"/>
  <c r="Q467" i="269"/>
  <c r="Q459" i="269"/>
  <c r="Q620" i="269"/>
  <c r="Q615" i="269"/>
  <c r="Q610" i="269"/>
  <c r="Q584" i="269"/>
  <c r="Q579" i="269"/>
  <c r="Q574" i="269"/>
  <c r="Q650" i="269"/>
  <c r="C579" i="269"/>
  <c r="D4909" i="270"/>
  <c r="J3918" i="270"/>
  <c r="D1408" i="270"/>
  <c r="J1408" i="270"/>
  <c r="J3126" i="270"/>
  <c r="D3126" i="270"/>
  <c r="U37" i="269"/>
  <c r="U628" i="269"/>
  <c r="O167" i="269"/>
  <c r="Q137" i="269"/>
  <c r="Q118" i="269"/>
  <c r="Q267" i="269"/>
  <c r="Q249" i="269"/>
  <c r="Q213" i="269"/>
  <c r="Q514" i="269"/>
  <c r="Q499" i="269"/>
  <c r="Q481" i="269"/>
  <c r="Q463" i="269"/>
  <c r="Q537" i="269"/>
  <c r="Q599" i="269"/>
  <c r="Q594" i="269"/>
  <c r="Q589" i="269"/>
  <c r="J3666" i="270"/>
  <c r="D4327" i="270"/>
  <c r="Q22" i="269"/>
  <c r="J59" i="270"/>
  <c r="D59" i="270"/>
  <c r="J2201" i="270"/>
  <c r="D2201" i="270"/>
  <c r="K95" i="269"/>
  <c r="U655" i="269"/>
  <c r="M655" i="269"/>
  <c r="O655" i="269" s="1"/>
  <c r="J71" i="270"/>
  <c r="D71" i="270"/>
  <c r="J1682" i="270"/>
  <c r="D1682" i="270"/>
  <c r="Q605" i="269"/>
  <c r="N282" i="269"/>
  <c r="P282" i="269" s="1"/>
  <c r="Q282" i="269" s="1"/>
  <c r="K447" i="269"/>
  <c r="Q152" i="269"/>
  <c r="Q115" i="269"/>
  <c r="J4708" i="270"/>
  <c r="N205" i="269"/>
  <c r="P205" i="269" s="1"/>
  <c r="M563" i="269"/>
  <c r="O563" i="269" s="1"/>
  <c r="Q563" i="269" s="1"/>
  <c r="U563" i="269"/>
  <c r="D1210" i="270"/>
  <c r="J1210" i="270"/>
  <c r="U282" i="269"/>
  <c r="D764" i="270"/>
  <c r="J764" i="270"/>
  <c r="M205" i="269"/>
  <c r="O205" i="269" s="1"/>
  <c r="U431" i="269"/>
  <c r="M431" i="269"/>
  <c r="O431" i="269" s="1"/>
  <c r="Q431" i="269" s="1"/>
  <c r="D10" i="270"/>
  <c r="J10" i="270"/>
  <c r="J1807" i="270"/>
  <c r="D1807" i="270"/>
  <c r="D2372" i="270"/>
  <c r="J2372" i="270"/>
  <c r="J2466" i="270"/>
  <c r="D2466" i="270"/>
  <c r="K100" i="269"/>
  <c r="N655" i="269"/>
  <c r="P655" i="269" s="1"/>
  <c r="Q134" i="269"/>
  <c r="Q600" i="269"/>
  <c r="D686" i="270"/>
  <c r="D4871" i="270"/>
  <c r="D2799" i="270"/>
  <c r="D4720" i="270"/>
  <c r="D4179" i="270"/>
  <c r="K539" i="269"/>
  <c r="K432" i="269"/>
  <c r="K79" i="269"/>
  <c r="U277" i="269"/>
  <c r="J2479" i="270"/>
  <c r="P167" i="269"/>
  <c r="U167" i="269"/>
  <c r="Q144" i="269"/>
  <c r="Q126" i="269"/>
  <c r="Q256" i="269"/>
  <c r="Q458" i="269"/>
  <c r="Q566" i="269"/>
  <c r="O624" i="269"/>
  <c r="Q614" i="269"/>
  <c r="Q604" i="269"/>
  <c r="Q578" i="269"/>
  <c r="Q573" i="269"/>
  <c r="K407" i="269"/>
  <c r="K192" i="269"/>
  <c r="J2287" i="270"/>
  <c r="D2287" i="270"/>
  <c r="U304" i="269"/>
  <c r="N304" i="269"/>
  <c r="P304" i="269" s="1"/>
  <c r="M304" i="269"/>
  <c r="O304" i="269" s="1"/>
  <c r="J2812" i="270"/>
  <c r="D2812" i="270"/>
  <c r="U624" i="269"/>
  <c r="Q149" i="269"/>
  <c r="Q261" i="269"/>
  <c r="Q225" i="269"/>
  <c r="Q511" i="269"/>
  <c r="Q493" i="269"/>
  <c r="Q475" i="269"/>
  <c r="Q606" i="269"/>
  <c r="Q601" i="269"/>
  <c r="Q570" i="269"/>
  <c r="Q627" i="269"/>
  <c r="M296" i="269"/>
  <c r="O296" i="269" s="1"/>
  <c r="N280" i="269"/>
  <c r="P280" i="269" s="1"/>
  <c r="Q111" i="269"/>
  <c r="K394" i="269"/>
  <c r="D3081" i="270"/>
  <c r="J3081" i="270"/>
  <c r="U390" i="269"/>
  <c r="D1184" i="270"/>
  <c r="D1482" i="270"/>
  <c r="D1021" i="270"/>
  <c r="D1095" i="270"/>
  <c r="Q158" i="269"/>
  <c r="Q270" i="269"/>
  <c r="Q252" i="269"/>
  <c r="Q234" i="269"/>
  <c r="Q216" i="269"/>
  <c r="P275" i="269"/>
  <c r="Q502" i="269"/>
  <c r="Q484" i="269"/>
  <c r="P624" i="269"/>
  <c r="Q593" i="269"/>
  <c r="Q588" i="269"/>
  <c r="Q583" i="269"/>
  <c r="Q631" i="269"/>
  <c r="U271" i="269"/>
  <c r="Q259" i="269"/>
  <c r="Q241" i="269"/>
  <c r="Q491" i="269"/>
  <c r="Q572" i="269"/>
  <c r="Q567" i="269"/>
  <c r="Q150" i="269"/>
  <c r="Q262" i="269"/>
  <c r="Q244" i="269"/>
  <c r="Q602" i="269"/>
  <c r="Q581" i="269"/>
  <c r="Q576" i="269"/>
  <c r="Q321" i="269"/>
  <c r="K353" i="269"/>
  <c r="K354" i="269"/>
  <c r="K349" i="269"/>
  <c r="K357" i="269" s="1"/>
  <c r="U350" i="269"/>
  <c r="O669" i="269"/>
  <c r="O673" i="269" s="1"/>
  <c r="U351" i="269"/>
  <c r="U357" i="269" l="1"/>
  <c r="Q628" i="269"/>
  <c r="Q323" i="269"/>
  <c r="M309" i="269"/>
  <c r="O309" i="269" s="1"/>
  <c r="O310" i="269" s="1"/>
  <c r="U309" i="269"/>
  <c r="N309" i="269"/>
  <c r="P309" i="269" s="1"/>
  <c r="U335" i="269"/>
  <c r="S409" i="269"/>
  <c r="M409" i="269" s="1"/>
  <c r="O409" i="269" s="1"/>
  <c r="L415" i="270"/>
  <c r="S35" i="269" s="1"/>
  <c r="K692" i="269"/>
  <c r="M692" i="269"/>
  <c r="O692" i="269" s="1"/>
  <c r="S692" i="269"/>
  <c r="U692" i="269" s="1"/>
  <c r="K337" i="269"/>
  <c r="U747" i="269"/>
  <c r="N704" i="269"/>
  <c r="P704" i="269" s="1"/>
  <c r="N359" i="269"/>
  <c r="P359" i="269" s="1"/>
  <c r="Q359" i="269" s="1"/>
  <c r="K747" i="269"/>
  <c r="U548" i="269"/>
  <c r="I693" i="269"/>
  <c r="M191" i="269"/>
  <c r="O191" i="269" s="1"/>
  <c r="I345" i="269"/>
  <c r="M547" i="269"/>
  <c r="O547" i="269" s="1"/>
  <c r="M190" i="269"/>
  <c r="O190" i="269" s="1"/>
  <c r="I344" i="269"/>
  <c r="U549" i="269"/>
  <c r="I694" i="269"/>
  <c r="M343" i="269"/>
  <c r="O343" i="269" s="1"/>
  <c r="K343" i="269"/>
  <c r="S343" i="269"/>
  <c r="Q335" i="269"/>
  <c r="K686" i="269"/>
  <c r="K687" i="269" s="1"/>
  <c r="M686" i="269"/>
  <c r="O686" i="269" s="1"/>
  <c r="T336" i="269"/>
  <c r="U336" i="269" s="1"/>
  <c r="O336" i="269"/>
  <c r="O337" i="269" s="1"/>
  <c r="P336" i="269"/>
  <c r="U363" i="269"/>
  <c r="N360" i="269"/>
  <c r="P360" i="269" s="1"/>
  <c r="O363" i="269"/>
  <c r="K363" i="269"/>
  <c r="U699" i="269"/>
  <c r="U701" i="269" s="1"/>
  <c r="K311" i="269"/>
  <c r="K372" i="269" s="1"/>
  <c r="K758" i="269" s="1"/>
  <c r="O704" i="269"/>
  <c r="O747" i="269" s="1"/>
  <c r="K675" i="269"/>
  <c r="K676" i="269" s="1"/>
  <c r="M675" i="269"/>
  <c r="O675" i="269" s="1"/>
  <c r="O676" i="269" s="1"/>
  <c r="M450" i="269"/>
  <c r="O450" i="269" s="1"/>
  <c r="Q450" i="269" s="1"/>
  <c r="U303" i="269"/>
  <c r="M303" i="269"/>
  <c r="O303" i="269" s="1"/>
  <c r="Q303" i="269" s="1"/>
  <c r="M189" i="269"/>
  <c r="O189" i="269" s="1"/>
  <c r="S204" i="269"/>
  <c r="U204" i="269" s="1"/>
  <c r="S203" i="269"/>
  <c r="U203" i="269" s="1"/>
  <c r="M417" i="269"/>
  <c r="O417" i="269" s="1"/>
  <c r="Q417" i="269" s="1"/>
  <c r="N528" i="269"/>
  <c r="P528" i="269" s="1"/>
  <c r="M528" i="269"/>
  <c r="O528" i="269" s="1"/>
  <c r="U450" i="269"/>
  <c r="L2823" i="270"/>
  <c r="S389" i="269" s="1"/>
  <c r="M389" i="269" s="1"/>
  <c r="O389" i="269" s="1"/>
  <c r="N201" i="269"/>
  <c r="P201" i="269" s="1"/>
  <c r="M201" i="269"/>
  <c r="O201" i="269" s="1"/>
  <c r="N648" i="269"/>
  <c r="P648" i="269" s="1"/>
  <c r="Q648" i="269" s="1"/>
  <c r="U648" i="269"/>
  <c r="U417" i="269"/>
  <c r="N179" i="269"/>
  <c r="P179" i="269" s="1"/>
  <c r="Q179" i="269" s="1"/>
  <c r="U179" i="269"/>
  <c r="M63" i="269"/>
  <c r="O63" i="269" s="1"/>
  <c r="Q63" i="269" s="1"/>
  <c r="U63" i="269"/>
  <c r="N172" i="269"/>
  <c r="P172" i="269" s="1"/>
  <c r="Q172" i="269" s="1"/>
  <c r="Q68" i="269"/>
  <c r="U172" i="269"/>
  <c r="N642" i="269"/>
  <c r="P642" i="269" s="1"/>
  <c r="M642" i="269"/>
  <c r="O642" i="269" s="1"/>
  <c r="N29" i="269"/>
  <c r="P29" i="269" s="1"/>
  <c r="N412" i="269"/>
  <c r="P412" i="269" s="1"/>
  <c r="Q412" i="269" s="1"/>
  <c r="U412" i="269"/>
  <c r="M29" i="269"/>
  <c r="O29" i="269" s="1"/>
  <c r="N302" i="269"/>
  <c r="P302" i="269" s="1"/>
  <c r="Q302" i="269" s="1"/>
  <c r="U286" i="269"/>
  <c r="N421" i="269"/>
  <c r="P421" i="269" s="1"/>
  <c r="Q421" i="269" s="1"/>
  <c r="M415" i="269"/>
  <c r="O415" i="269" s="1"/>
  <c r="Q415" i="269" s="1"/>
  <c r="N49" i="269"/>
  <c r="P49" i="269" s="1"/>
  <c r="Q49" i="269" s="1"/>
  <c r="U302" i="269"/>
  <c r="N292" i="269"/>
  <c r="P292" i="269" s="1"/>
  <c r="U421" i="269"/>
  <c r="U415" i="269"/>
  <c r="M292" i="269"/>
  <c r="O292" i="269" s="1"/>
  <c r="M301" i="269"/>
  <c r="O301" i="269" s="1"/>
  <c r="U49" i="269"/>
  <c r="N30" i="269"/>
  <c r="P30" i="269" s="1"/>
  <c r="N543" i="269"/>
  <c r="P543" i="269" s="1"/>
  <c r="L1441" i="270"/>
  <c r="S84" i="269" s="1"/>
  <c r="M84" i="269" s="1"/>
  <c r="O84" i="269" s="1"/>
  <c r="U202" i="269"/>
  <c r="N202" i="269"/>
  <c r="P202" i="269" s="1"/>
  <c r="Q202" i="269" s="1"/>
  <c r="N444" i="269"/>
  <c r="P444" i="269" s="1"/>
  <c r="Q444" i="269" s="1"/>
  <c r="M30" i="269"/>
  <c r="O30" i="269" s="1"/>
  <c r="U61" i="269"/>
  <c r="M543" i="269"/>
  <c r="O543" i="269" s="1"/>
  <c r="U444" i="269"/>
  <c r="L1424" i="270"/>
  <c r="S83" i="269" s="1"/>
  <c r="N83" i="269" s="1"/>
  <c r="P83" i="269" s="1"/>
  <c r="M61" i="269"/>
  <c r="O61" i="269" s="1"/>
  <c r="Q61" i="269" s="1"/>
  <c r="N301" i="269"/>
  <c r="P301" i="269" s="1"/>
  <c r="M286" i="269"/>
  <c r="O286" i="269" s="1"/>
  <c r="Q286" i="269" s="1"/>
  <c r="N64" i="269"/>
  <c r="P64" i="269" s="1"/>
  <c r="L1644" i="270"/>
  <c r="M64" i="269"/>
  <c r="O64" i="269" s="1"/>
  <c r="M411" i="269"/>
  <c r="O411" i="269" s="1"/>
  <c r="N381" i="269"/>
  <c r="P381" i="269" s="1"/>
  <c r="Q381" i="269" s="1"/>
  <c r="U416" i="269"/>
  <c r="U86" i="269"/>
  <c r="N86" i="269"/>
  <c r="P86" i="269" s="1"/>
  <c r="Q86" i="269" s="1"/>
  <c r="U191" i="269"/>
  <c r="U381" i="269"/>
  <c r="U387" i="269" s="1"/>
  <c r="M416" i="269"/>
  <c r="O416" i="269" s="1"/>
  <c r="Q416" i="269" s="1"/>
  <c r="N191" i="269"/>
  <c r="P191" i="269" s="1"/>
  <c r="S422" i="269"/>
  <c r="M422" i="269" s="1"/>
  <c r="O422" i="269" s="1"/>
  <c r="N54" i="269"/>
  <c r="P54" i="269" s="1"/>
  <c r="U73" i="269"/>
  <c r="N293" i="269"/>
  <c r="P293" i="269" s="1"/>
  <c r="U555" i="269"/>
  <c r="M73" i="269"/>
  <c r="O73" i="269" s="1"/>
  <c r="Q73" i="269" s="1"/>
  <c r="M293" i="269"/>
  <c r="O293" i="269" s="1"/>
  <c r="N531" i="269"/>
  <c r="P531" i="269" s="1"/>
  <c r="Q531" i="269" s="1"/>
  <c r="M555" i="269"/>
  <c r="O555" i="269" s="1"/>
  <c r="Q555" i="269" s="1"/>
  <c r="M54" i="269"/>
  <c r="O54" i="269" s="1"/>
  <c r="U531" i="269"/>
  <c r="N66" i="269"/>
  <c r="P66" i="269" s="1"/>
  <c r="Q66" i="269" s="1"/>
  <c r="N545" i="269"/>
  <c r="P545" i="269" s="1"/>
  <c r="Q545" i="269" s="1"/>
  <c r="U545" i="269"/>
  <c r="N411" i="269"/>
  <c r="P411" i="269" s="1"/>
  <c r="U178" i="269"/>
  <c r="P673" i="269"/>
  <c r="M188" i="269"/>
  <c r="O188" i="269" s="1"/>
  <c r="Q188" i="269" s="1"/>
  <c r="U308" i="269"/>
  <c r="U310" i="269" s="1"/>
  <c r="M48" i="269"/>
  <c r="O48" i="269" s="1"/>
  <c r="M195" i="269"/>
  <c r="O195" i="269" s="1"/>
  <c r="N195" i="269"/>
  <c r="P195" i="269" s="1"/>
  <c r="N48" i="269"/>
  <c r="P48" i="269" s="1"/>
  <c r="U278" i="269"/>
  <c r="M278" i="269"/>
  <c r="O278" i="269" s="1"/>
  <c r="Q278" i="269" s="1"/>
  <c r="M81" i="269"/>
  <c r="O81" i="269" s="1"/>
  <c r="Q81" i="269" s="1"/>
  <c r="U188" i="269"/>
  <c r="M659" i="269"/>
  <c r="O659" i="269" s="1"/>
  <c r="Q659" i="269" s="1"/>
  <c r="U66" i="269"/>
  <c r="M427" i="269"/>
  <c r="O427" i="269" s="1"/>
  <c r="Q24" i="269"/>
  <c r="M42" i="269"/>
  <c r="O42" i="269" s="1"/>
  <c r="Q42" i="269" s="1"/>
  <c r="U529" i="269"/>
  <c r="Q403" i="269"/>
  <c r="M50" i="269"/>
  <c r="O50" i="269" s="1"/>
  <c r="Q50" i="269" s="1"/>
  <c r="U50" i="269"/>
  <c r="U42" i="269"/>
  <c r="N419" i="269"/>
  <c r="P419" i="269" s="1"/>
  <c r="Q419" i="269" s="1"/>
  <c r="M56" i="269"/>
  <c r="O56" i="269" s="1"/>
  <c r="Q56" i="269" s="1"/>
  <c r="M541" i="269"/>
  <c r="O541" i="269" s="1"/>
  <c r="Q541" i="269" s="1"/>
  <c r="U56" i="269"/>
  <c r="M183" i="269"/>
  <c r="O183" i="269" s="1"/>
  <c r="Q183" i="269" s="1"/>
  <c r="M538" i="269"/>
  <c r="O538" i="269" s="1"/>
  <c r="U285" i="269"/>
  <c r="N285" i="269"/>
  <c r="P285" i="269" s="1"/>
  <c r="Q285" i="269" s="1"/>
  <c r="M93" i="269"/>
  <c r="O93" i="269" s="1"/>
  <c r="Q93" i="269" s="1"/>
  <c r="U93" i="269"/>
  <c r="M425" i="269"/>
  <c r="O425" i="269" s="1"/>
  <c r="Q425" i="269" s="1"/>
  <c r="N185" i="269"/>
  <c r="P185" i="269" s="1"/>
  <c r="Q185" i="269" s="1"/>
  <c r="U287" i="269"/>
  <c r="U425" i="269"/>
  <c r="U81" i="269"/>
  <c r="Q277" i="269"/>
  <c r="Q656" i="269"/>
  <c r="N635" i="269"/>
  <c r="P635" i="269" s="1"/>
  <c r="N187" i="269"/>
  <c r="P187" i="269" s="1"/>
  <c r="Q187" i="269" s="1"/>
  <c r="U547" i="269"/>
  <c r="Q304" i="269"/>
  <c r="M287" i="269"/>
  <c r="O287" i="269" s="1"/>
  <c r="Q287" i="269" s="1"/>
  <c r="N413" i="269"/>
  <c r="P413" i="269" s="1"/>
  <c r="Q413" i="269" s="1"/>
  <c r="U436" i="269"/>
  <c r="U419" i="269"/>
  <c r="N405" i="269"/>
  <c r="P405" i="269" s="1"/>
  <c r="Q405" i="269" s="1"/>
  <c r="Q386" i="269"/>
  <c r="P525" i="269"/>
  <c r="M418" i="269"/>
  <c r="O418" i="269" s="1"/>
  <c r="N418" i="269"/>
  <c r="P418" i="269" s="1"/>
  <c r="U649" i="269"/>
  <c r="U530" i="269"/>
  <c r="M401" i="269"/>
  <c r="O401" i="269" s="1"/>
  <c r="Q645" i="269"/>
  <c r="U405" i="269"/>
  <c r="U197" i="269"/>
  <c r="M31" i="269"/>
  <c r="O31" i="269" s="1"/>
  <c r="Q31" i="269" s="1"/>
  <c r="U59" i="269"/>
  <c r="M178" i="269"/>
  <c r="O178" i="269" s="1"/>
  <c r="Q178" i="269" s="1"/>
  <c r="U62" i="269"/>
  <c r="M47" i="269"/>
  <c r="O47" i="269" s="1"/>
  <c r="M298" i="269"/>
  <c r="O298" i="269" s="1"/>
  <c r="Q298" i="269" s="1"/>
  <c r="U88" i="269"/>
  <c r="N544" i="269"/>
  <c r="P544" i="269" s="1"/>
  <c r="Q544" i="269" s="1"/>
  <c r="N279" i="269"/>
  <c r="P279" i="269" s="1"/>
  <c r="Q279" i="269" s="1"/>
  <c r="Q325" i="269"/>
  <c r="Q326" i="269" s="1"/>
  <c r="U298" i="269"/>
  <c r="U544" i="269"/>
  <c r="N436" i="269"/>
  <c r="P436" i="269" s="1"/>
  <c r="Q436" i="269" s="1"/>
  <c r="M55" i="269"/>
  <c r="O55" i="269" s="1"/>
  <c r="U525" i="269"/>
  <c r="M549" i="269"/>
  <c r="O549" i="269" s="1"/>
  <c r="N534" i="269"/>
  <c r="P534" i="269" s="1"/>
  <c r="M290" i="269"/>
  <c r="O290" i="269" s="1"/>
  <c r="N639" i="269"/>
  <c r="P639" i="269" s="1"/>
  <c r="N59" i="269"/>
  <c r="P59" i="269" s="1"/>
  <c r="Q59" i="269" s="1"/>
  <c r="U279" i="269"/>
  <c r="Q37" i="269"/>
  <c r="U435" i="269"/>
  <c r="Q94" i="269"/>
  <c r="U173" i="269"/>
  <c r="N549" i="269"/>
  <c r="P549" i="269" s="1"/>
  <c r="N46" i="269"/>
  <c r="P46" i="269" s="1"/>
  <c r="Q46" i="269" s="1"/>
  <c r="N290" i="269"/>
  <c r="P290" i="269" s="1"/>
  <c r="M639" i="269"/>
  <c r="O639" i="269" s="1"/>
  <c r="M196" i="269"/>
  <c r="O196" i="269" s="1"/>
  <c r="Q703" i="269"/>
  <c r="M640" i="269"/>
  <c r="O640" i="269" s="1"/>
  <c r="U445" i="269"/>
  <c r="N640" i="269"/>
  <c r="P640" i="269" s="1"/>
  <c r="U430" i="269"/>
  <c r="N197" i="269"/>
  <c r="P197" i="269" s="1"/>
  <c r="Q197" i="269" s="1"/>
  <c r="N404" i="269"/>
  <c r="P404" i="269" s="1"/>
  <c r="N547" i="269"/>
  <c r="P547" i="269" s="1"/>
  <c r="U446" i="269"/>
  <c r="N196" i="269"/>
  <c r="P196" i="269" s="1"/>
  <c r="Q632" i="269"/>
  <c r="M534" i="269"/>
  <c r="O534" i="269" s="1"/>
  <c r="N177" i="269"/>
  <c r="P177" i="269" s="1"/>
  <c r="Q177" i="269" s="1"/>
  <c r="M404" i="269"/>
  <c r="O404" i="269" s="1"/>
  <c r="U659" i="269"/>
  <c r="M446" i="269"/>
  <c r="O446" i="269" s="1"/>
  <c r="Q446" i="269" s="1"/>
  <c r="M430" i="269"/>
  <c r="O430" i="269" s="1"/>
  <c r="Q430" i="269" s="1"/>
  <c r="N427" i="269"/>
  <c r="P427" i="269" s="1"/>
  <c r="U187" i="269"/>
  <c r="U533" i="269"/>
  <c r="U186" i="269"/>
  <c r="M82" i="269"/>
  <c r="O82" i="269" s="1"/>
  <c r="Q82" i="269" s="1"/>
  <c r="N445" i="269"/>
  <c r="P445" i="269" s="1"/>
  <c r="Q445" i="269" s="1"/>
  <c r="U185" i="269"/>
  <c r="M442" i="269"/>
  <c r="O442" i="269" s="1"/>
  <c r="Q442" i="269" s="1"/>
  <c r="N556" i="269"/>
  <c r="P556" i="269" s="1"/>
  <c r="O701" i="269"/>
  <c r="N72" i="269"/>
  <c r="P72" i="269" s="1"/>
  <c r="Q72" i="269" s="1"/>
  <c r="U46" i="269"/>
  <c r="U82" i="269"/>
  <c r="M556" i="269"/>
  <c r="O556" i="269" s="1"/>
  <c r="M186" i="269"/>
  <c r="O186" i="269" s="1"/>
  <c r="Q186" i="269" s="1"/>
  <c r="M560" i="269"/>
  <c r="O560" i="269" s="1"/>
  <c r="Q295" i="269"/>
  <c r="U31" i="269"/>
  <c r="Q87" i="269"/>
  <c r="M635" i="269"/>
  <c r="O635" i="269" s="1"/>
  <c r="U442" i="269"/>
  <c r="N533" i="269"/>
  <c r="P533" i="269" s="1"/>
  <c r="Q533" i="269" s="1"/>
  <c r="U413" i="269"/>
  <c r="N55" i="269"/>
  <c r="P55" i="269" s="1"/>
  <c r="N560" i="269"/>
  <c r="P560" i="269" s="1"/>
  <c r="Q440" i="269"/>
  <c r="M529" i="269"/>
  <c r="O529" i="269" s="1"/>
  <c r="Q529" i="269" s="1"/>
  <c r="M382" i="269"/>
  <c r="O382" i="269" s="1"/>
  <c r="N173" i="269"/>
  <c r="P173" i="269" s="1"/>
  <c r="Q173" i="269" s="1"/>
  <c r="M548" i="269"/>
  <c r="O548" i="269" s="1"/>
  <c r="U28" i="269"/>
  <c r="U198" i="269"/>
  <c r="N382" i="269"/>
  <c r="P382" i="269" s="1"/>
  <c r="U541" i="269"/>
  <c r="N398" i="269"/>
  <c r="P398" i="269" s="1"/>
  <c r="Q398" i="269" s="1"/>
  <c r="U643" i="269"/>
  <c r="N299" i="269"/>
  <c r="P299" i="269" s="1"/>
  <c r="U41" i="269"/>
  <c r="U92" i="269"/>
  <c r="N535" i="269"/>
  <c r="P535" i="269" s="1"/>
  <c r="Q535" i="269" s="1"/>
  <c r="M198" i="269"/>
  <c r="O198" i="269" s="1"/>
  <c r="Q198" i="269" s="1"/>
  <c r="N548" i="269"/>
  <c r="P548" i="269" s="1"/>
  <c r="U194" i="269"/>
  <c r="M58" i="269"/>
  <c r="O58" i="269" s="1"/>
  <c r="Q58" i="269" s="1"/>
  <c r="U58" i="269"/>
  <c r="M60" i="269"/>
  <c r="O60" i="269" s="1"/>
  <c r="U60" i="269"/>
  <c r="U434" i="269"/>
  <c r="U542" i="269"/>
  <c r="M88" i="269"/>
  <c r="O88" i="269" s="1"/>
  <c r="Q88" i="269" s="1"/>
  <c r="U72" i="269"/>
  <c r="N28" i="269"/>
  <c r="P28" i="269" s="1"/>
  <c r="Q28" i="269" s="1"/>
  <c r="U183" i="269"/>
  <c r="N542" i="269"/>
  <c r="P542" i="269" s="1"/>
  <c r="Q542" i="269" s="1"/>
  <c r="N41" i="269"/>
  <c r="P41" i="269" s="1"/>
  <c r="Q41" i="269" s="1"/>
  <c r="M89" i="269"/>
  <c r="O89" i="269" s="1"/>
  <c r="M92" i="269"/>
  <c r="O92" i="269" s="1"/>
  <c r="Q92" i="269" s="1"/>
  <c r="N180" i="269"/>
  <c r="P180" i="269" s="1"/>
  <c r="N77" i="269"/>
  <c r="P77" i="269" s="1"/>
  <c r="U535" i="269"/>
  <c r="M23" i="269"/>
  <c r="O23" i="269" s="1"/>
  <c r="Q23" i="269" s="1"/>
  <c r="M57" i="269"/>
  <c r="O57" i="269" s="1"/>
  <c r="M402" i="269"/>
  <c r="O402" i="269" s="1"/>
  <c r="M532" i="269"/>
  <c r="O532" i="269" s="1"/>
  <c r="Q647" i="269"/>
  <c r="U23" i="269"/>
  <c r="Q383" i="269"/>
  <c r="M649" i="269"/>
  <c r="O649" i="269" s="1"/>
  <c r="Q649" i="269" s="1"/>
  <c r="U553" i="269"/>
  <c r="N60" i="269"/>
  <c r="P60" i="269" s="1"/>
  <c r="M77" i="269"/>
  <c r="O77" i="269" s="1"/>
  <c r="Q390" i="269"/>
  <c r="N57" i="269"/>
  <c r="P57" i="269" s="1"/>
  <c r="M44" i="269"/>
  <c r="O44" i="269" s="1"/>
  <c r="U43" i="269"/>
  <c r="N553" i="269"/>
  <c r="P553" i="269" s="1"/>
  <c r="Q553" i="269" s="1"/>
  <c r="L156" i="270"/>
  <c r="S34" i="269" s="1"/>
  <c r="U34" i="269" s="1"/>
  <c r="N200" i="269"/>
  <c r="P200" i="269" s="1"/>
  <c r="Q200" i="269" s="1"/>
  <c r="N25" i="269"/>
  <c r="P25" i="269" s="1"/>
  <c r="U74" i="269"/>
  <c r="C1352" i="270"/>
  <c r="L1352" i="270" s="1"/>
  <c r="S75" i="269"/>
  <c r="N170" i="269"/>
  <c r="P170" i="269" s="1"/>
  <c r="Q170" i="269" s="1"/>
  <c r="M385" i="269"/>
  <c r="O385" i="269" s="1"/>
  <c r="N385" i="269"/>
  <c r="P385" i="269" s="1"/>
  <c r="N44" i="269"/>
  <c r="P44" i="269" s="1"/>
  <c r="N27" i="269"/>
  <c r="P27" i="269" s="1"/>
  <c r="Q27" i="269" s="1"/>
  <c r="N538" i="269"/>
  <c r="P538" i="269" s="1"/>
  <c r="M561" i="269"/>
  <c r="O561" i="269" s="1"/>
  <c r="Q561" i="269" s="1"/>
  <c r="M562" i="269"/>
  <c r="O562" i="269" s="1"/>
  <c r="N428" i="269"/>
  <c r="P428" i="269" s="1"/>
  <c r="Q428" i="269" s="1"/>
  <c r="M437" i="269"/>
  <c r="O437" i="269" s="1"/>
  <c r="Q437" i="269" s="1"/>
  <c r="Q305" i="269"/>
  <c r="N74" i="269"/>
  <c r="P74" i="269" s="1"/>
  <c r="Q74" i="269" s="1"/>
  <c r="M434" i="269"/>
  <c r="O434" i="269" s="1"/>
  <c r="Q434" i="269" s="1"/>
  <c r="M43" i="269"/>
  <c r="O43" i="269" s="1"/>
  <c r="Q43" i="269" s="1"/>
  <c r="N194" i="269"/>
  <c r="P194" i="269" s="1"/>
  <c r="Q194" i="269" s="1"/>
  <c r="N62" i="269"/>
  <c r="P62" i="269" s="1"/>
  <c r="Q62" i="269" s="1"/>
  <c r="Q280" i="269"/>
  <c r="N527" i="269"/>
  <c r="P527" i="269" s="1"/>
  <c r="M97" i="269"/>
  <c r="O97" i="269" s="1"/>
  <c r="Q97" i="269" s="1"/>
  <c r="U27" i="269"/>
  <c r="U97" i="269"/>
  <c r="U561" i="269"/>
  <c r="N562" i="269"/>
  <c r="P562" i="269" s="1"/>
  <c r="U428" i="269"/>
  <c r="U437" i="269"/>
  <c r="N402" i="269"/>
  <c r="P402" i="269" s="1"/>
  <c r="K678" i="269"/>
  <c r="K682" i="269" s="1"/>
  <c r="N51" i="269"/>
  <c r="P51" i="269" s="1"/>
  <c r="M51" i="269"/>
  <c r="O51" i="269" s="1"/>
  <c r="U51" i="269"/>
  <c r="Q281" i="269"/>
  <c r="N190" i="269"/>
  <c r="P190" i="269" s="1"/>
  <c r="N67" i="269"/>
  <c r="P67" i="269" s="1"/>
  <c r="Q67" i="269" s="1"/>
  <c r="N174" i="269"/>
  <c r="P174" i="269" s="1"/>
  <c r="Q174" i="269" s="1"/>
  <c r="M184" i="269"/>
  <c r="O184" i="269" s="1"/>
  <c r="U396" i="269"/>
  <c r="M527" i="269"/>
  <c r="O527" i="269" s="1"/>
  <c r="N396" i="269"/>
  <c r="P396" i="269" s="1"/>
  <c r="Q396" i="269" s="1"/>
  <c r="N89" i="269"/>
  <c r="P89" i="269" s="1"/>
  <c r="Q449" i="269"/>
  <c r="N199" i="269"/>
  <c r="P199" i="269" s="1"/>
  <c r="Q199" i="269" s="1"/>
  <c r="M25" i="269"/>
  <c r="O25" i="269" s="1"/>
  <c r="C4035" i="270"/>
  <c r="L4035" i="270" s="1"/>
  <c r="L4015" i="270" s="1"/>
  <c r="S429" i="269" s="1"/>
  <c r="N429" i="269" s="1"/>
  <c r="P429" i="269" s="1"/>
  <c r="N98" i="269"/>
  <c r="P98" i="269" s="1"/>
  <c r="U174" i="269"/>
  <c r="M451" i="269"/>
  <c r="O451" i="269" s="1"/>
  <c r="U451" i="269"/>
  <c r="N451" i="269"/>
  <c r="P451" i="269" s="1"/>
  <c r="P452" i="269" s="1"/>
  <c r="N184" i="269"/>
  <c r="P184" i="269" s="1"/>
  <c r="U190" i="269"/>
  <c r="U170" i="269"/>
  <c r="M175" i="269"/>
  <c r="O175" i="269" s="1"/>
  <c r="Q175" i="269" s="1"/>
  <c r="M98" i="269"/>
  <c r="O98" i="269" s="1"/>
  <c r="U398" i="269"/>
  <c r="U200" i="269"/>
  <c r="U199" i="269"/>
  <c r="N530" i="269"/>
  <c r="P530" i="269" s="1"/>
  <c r="Q530" i="269" s="1"/>
  <c r="N532" i="269"/>
  <c r="P532" i="269" s="1"/>
  <c r="U559" i="269"/>
  <c r="N559" i="269"/>
  <c r="P559" i="269" s="1"/>
  <c r="M559" i="269"/>
  <c r="O559" i="269" s="1"/>
  <c r="N401" i="269"/>
  <c r="P401" i="269" s="1"/>
  <c r="U175" i="269"/>
  <c r="N643" i="269"/>
  <c r="P643" i="269" s="1"/>
  <c r="Q643" i="269" s="1"/>
  <c r="M393" i="269"/>
  <c r="O393" i="269" s="1"/>
  <c r="N393" i="269"/>
  <c r="P393" i="269" s="1"/>
  <c r="N638" i="269"/>
  <c r="P638" i="269" s="1"/>
  <c r="U439" i="269"/>
  <c r="N439" i="269"/>
  <c r="P439" i="269" s="1"/>
  <c r="M439" i="269"/>
  <c r="O439" i="269" s="1"/>
  <c r="N536" i="269"/>
  <c r="P536" i="269" s="1"/>
  <c r="M660" i="269"/>
  <c r="O660" i="269" s="1"/>
  <c r="Q660" i="269" s="1"/>
  <c r="M435" i="269"/>
  <c r="O435" i="269" s="1"/>
  <c r="Q435" i="269" s="1"/>
  <c r="N308" i="269"/>
  <c r="P308" i="269" s="1"/>
  <c r="P310" i="269" s="1"/>
  <c r="M21" i="269"/>
  <c r="O21" i="269" s="1"/>
  <c r="U21" i="269"/>
  <c r="N21" i="269"/>
  <c r="P21" i="269" s="1"/>
  <c r="N546" i="269"/>
  <c r="P546" i="269" s="1"/>
  <c r="U546" i="269"/>
  <c r="M546" i="269"/>
  <c r="O546" i="269" s="1"/>
  <c r="N91" i="269"/>
  <c r="P91" i="269" s="1"/>
  <c r="U91" i="269"/>
  <c r="M91" i="269"/>
  <c r="O91" i="269" s="1"/>
  <c r="N406" i="269"/>
  <c r="P406" i="269" s="1"/>
  <c r="M406" i="269"/>
  <c r="O406" i="269" s="1"/>
  <c r="P661" i="269"/>
  <c r="U660" i="269"/>
  <c r="M536" i="269"/>
  <c r="O536" i="269" s="1"/>
  <c r="Q379" i="269"/>
  <c r="M558" i="269"/>
  <c r="O558" i="269" s="1"/>
  <c r="N410" i="269"/>
  <c r="P410" i="269" s="1"/>
  <c r="M410" i="269"/>
  <c r="O410" i="269" s="1"/>
  <c r="U410" i="269"/>
  <c r="N634" i="269"/>
  <c r="P634" i="269" s="1"/>
  <c r="U634" i="269"/>
  <c r="M634" i="269"/>
  <c r="O634" i="269" s="1"/>
  <c r="Q644" i="269"/>
  <c r="M399" i="269"/>
  <c r="O399" i="269" s="1"/>
  <c r="Q399" i="269" s="1"/>
  <c r="U67" i="269"/>
  <c r="N637" i="269"/>
  <c r="P637" i="269" s="1"/>
  <c r="M637" i="269"/>
  <c r="O637" i="269" s="1"/>
  <c r="M441" i="269"/>
  <c r="O441" i="269" s="1"/>
  <c r="N441" i="269"/>
  <c r="P441" i="269" s="1"/>
  <c r="U441" i="269"/>
  <c r="M300" i="269"/>
  <c r="O300" i="269" s="1"/>
  <c r="Q300" i="269" s="1"/>
  <c r="U69" i="269"/>
  <c r="U177" i="269"/>
  <c r="N169" i="269"/>
  <c r="P169" i="269" s="1"/>
  <c r="N558" i="269"/>
  <c r="P558" i="269" s="1"/>
  <c r="U557" i="269"/>
  <c r="N557" i="269"/>
  <c r="P557" i="269" s="1"/>
  <c r="Q557" i="269" s="1"/>
  <c r="M171" i="269"/>
  <c r="O171" i="269" s="1"/>
  <c r="N171" i="269"/>
  <c r="P171" i="269" s="1"/>
  <c r="U171" i="269"/>
  <c r="M638" i="269"/>
  <c r="O638" i="269" s="1"/>
  <c r="M69" i="269"/>
  <c r="O69" i="269" s="1"/>
  <c r="Q69" i="269" s="1"/>
  <c r="U399" i="269"/>
  <c r="U637" i="269"/>
  <c r="Q384" i="269"/>
  <c r="M169" i="269"/>
  <c r="O169" i="269" s="1"/>
  <c r="N397" i="269"/>
  <c r="P397" i="269" s="1"/>
  <c r="M397" i="269"/>
  <c r="O397" i="269" s="1"/>
  <c r="N38" i="269"/>
  <c r="P38" i="269" s="1"/>
  <c r="M38" i="269"/>
  <c r="O38" i="269" s="1"/>
  <c r="U38" i="269"/>
  <c r="U36" i="269"/>
  <c r="M36" i="269"/>
  <c r="O36" i="269" s="1"/>
  <c r="N36" i="269"/>
  <c r="P36" i="269" s="1"/>
  <c r="M299" i="269"/>
  <c r="O299" i="269" s="1"/>
  <c r="M636" i="269"/>
  <c r="O636" i="269" s="1"/>
  <c r="N636" i="269"/>
  <c r="P636" i="269" s="1"/>
  <c r="U636" i="269"/>
  <c r="N426" i="269"/>
  <c r="P426" i="269" s="1"/>
  <c r="M426" i="269"/>
  <c r="O426" i="269" s="1"/>
  <c r="M180" i="269"/>
  <c r="O180" i="269" s="1"/>
  <c r="U300" i="269"/>
  <c r="Q391" i="269"/>
  <c r="N47" i="269"/>
  <c r="P47" i="269" s="1"/>
  <c r="N414" i="269"/>
  <c r="P414" i="269" s="1"/>
  <c r="M414" i="269"/>
  <c r="O414" i="269" s="1"/>
  <c r="S685" i="269"/>
  <c r="U176" i="269"/>
  <c r="M176" i="269"/>
  <c r="O176" i="269" s="1"/>
  <c r="N176" i="269"/>
  <c r="P176" i="269" s="1"/>
  <c r="K662" i="269"/>
  <c r="K756" i="269" s="1"/>
  <c r="K701" i="269"/>
  <c r="Q460" i="269"/>
  <c r="Q525" i="269" s="1"/>
  <c r="Q275" i="269"/>
  <c r="Q296" i="269"/>
  <c r="Q655" i="269"/>
  <c r="Q271" i="269"/>
  <c r="Q297" i="269"/>
  <c r="Q701" i="269"/>
  <c r="Q167" i="269"/>
  <c r="S684" i="269"/>
  <c r="C580" i="269"/>
  <c r="Q641" i="269"/>
  <c r="Q669" i="269"/>
  <c r="Q673" i="269" s="1"/>
  <c r="Q624" i="269"/>
  <c r="Q205" i="269"/>
  <c r="U337" i="269" l="1"/>
  <c r="Q309" i="269"/>
  <c r="N409" i="269"/>
  <c r="P409" i="269" s="1"/>
  <c r="Q409" i="269" s="1"/>
  <c r="U409" i="269"/>
  <c r="Q190" i="269"/>
  <c r="Q547" i="269"/>
  <c r="P539" i="269"/>
  <c r="L1319" i="270"/>
  <c r="S76" i="269" s="1"/>
  <c r="O539" i="269"/>
  <c r="S99" i="269"/>
  <c r="N99" i="269" s="1"/>
  <c r="P99" i="269" s="1"/>
  <c r="N692" i="269"/>
  <c r="P692" i="269" s="1"/>
  <c r="Q692" i="269" s="1"/>
  <c r="S686" i="269"/>
  <c r="N686" i="269" s="1"/>
  <c r="P686" i="269" s="1"/>
  <c r="Q686" i="269" s="1"/>
  <c r="P363" i="269"/>
  <c r="Q191" i="269"/>
  <c r="Q336" i="269"/>
  <c r="Q337" i="269" s="1"/>
  <c r="M344" i="269"/>
  <c r="O344" i="269" s="1"/>
  <c r="S344" i="269"/>
  <c r="K344" i="269"/>
  <c r="S345" i="269"/>
  <c r="U345" i="269" s="1"/>
  <c r="M345" i="269"/>
  <c r="O345" i="269" s="1"/>
  <c r="K345" i="269"/>
  <c r="S693" i="269"/>
  <c r="U693" i="269" s="1"/>
  <c r="M693" i="269"/>
  <c r="O693" i="269" s="1"/>
  <c r="K693" i="269"/>
  <c r="K694" i="269"/>
  <c r="M694" i="269"/>
  <c r="O694" i="269" s="1"/>
  <c r="S694" i="269"/>
  <c r="U694" i="269" s="1"/>
  <c r="Q360" i="269"/>
  <c r="Q363" i="269" s="1"/>
  <c r="N343" i="269"/>
  <c r="P343" i="269" s="1"/>
  <c r="U343" i="269"/>
  <c r="P337" i="269"/>
  <c r="U685" i="269"/>
  <c r="N685" i="269"/>
  <c r="P685" i="269" s="1"/>
  <c r="Q685" i="269" s="1"/>
  <c r="U684" i="269"/>
  <c r="N684" i="269"/>
  <c r="P684" i="269" s="1"/>
  <c r="Q704" i="269"/>
  <c r="Q747" i="269" s="1"/>
  <c r="K759" i="269"/>
  <c r="K760" i="269" s="1"/>
  <c r="N35" i="269"/>
  <c r="P35" i="269" s="1"/>
  <c r="N189" i="269"/>
  <c r="P189" i="269" s="1"/>
  <c r="Q189" i="269" s="1"/>
  <c r="M203" i="269"/>
  <c r="O203" i="269" s="1"/>
  <c r="M204" i="269"/>
  <c r="O204" i="269" s="1"/>
  <c r="N204" i="269"/>
  <c r="P204" i="269" s="1"/>
  <c r="U189" i="269"/>
  <c r="U192" i="269" s="1"/>
  <c r="N203" i="269"/>
  <c r="P203" i="269" s="1"/>
  <c r="U452" i="269"/>
  <c r="Q528" i="269"/>
  <c r="Q201" i="269"/>
  <c r="U35" i="269"/>
  <c r="U39" i="269" s="1"/>
  <c r="Q543" i="269"/>
  <c r="Q642" i="269"/>
  <c r="Q64" i="269"/>
  <c r="Q29" i="269"/>
  <c r="M35" i="269"/>
  <c r="O35" i="269" s="1"/>
  <c r="U283" i="269"/>
  <c r="N84" i="269"/>
  <c r="P84" i="269" s="1"/>
  <c r="Q84" i="269" s="1"/>
  <c r="Q301" i="269"/>
  <c r="U84" i="269"/>
  <c r="Q292" i="269"/>
  <c r="Q30" i="269"/>
  <c r="Q293" i="269"/>
  <c r="Q411" i="269"/>
  <c r="M83" i="269"/>
  <c r="O83" i="269" s="1"/>
  <c r="Q83" i="269" s="1"/>
  <c r="U83" i="269"/>
  <c r="Q427" i="269"/>
  <c r="Q48" i="269"/>
  <c r="Q54" i="269"/>
  <c r="O283" i="269"/>
  <c r="N422" i="269"/>
  <c r="P422" i="269" s="1"/>
  <c r="U422" i="269"/>
  <c r="Q195" i="269"/>
  <c r="S675" i="269"/>
  <c r="U675" i="269" s="1"/>
  <c r="U676" i="269" s="1"/>
  <c r="Q538" i="269"/>
  <c r="Q47" i="269"/>
  <c r="U306" i="269"/>
  <c r="Q559" i="269"/>
  <c r="O192" i="269"/>
  <c r="Q418" i="269"/>
  <c r="Q60" i="269"/>
  <c r="Q635" i="269"/>
  <c r="Q89" i="269"/>
  <c r="Q439" i="269"/>
  <c r="Q532" i="269"/>
  <c r="Q404" i="269"/>
  <c r="Q534" i="269"/>
  <c r="Q44" i="269"/>
  <c r="P306" i="269"/>
  <c r="Q401" i="269"/>
  <c r="Q77" i="269"/>
  <c r="Q549" i="269"/>
  <c r="Q661" i="269"/>
  <c r="P283" i="269"/>
  <c r="O550" i="269"/>
  <c r="U661" i="269"/>
  <c r="Q55" i="269"/>
  <c r="Q556" i="269"/>
  <c r="U539" i="269"/>
  <c r="Q675" i="269"/>
  <c r="Q676" i="269" s="1"/>
  <c r="Q536" i="269"/>
  <c r="Q382" i="269"/>
  <c r="Q180" i="269"/>
  <c r="Q57" i="269"/>
  <c r="Q196" i="269"/>
  <c r="Q639" i="269"/>
  <c r="P550" i="269"/>
  <c r="Q290" i="269"/>
  <c r="Q638" i="269"/>
  <c r="Q38" i="269"/>
  <c r="U32" i="269"/>
  <c r="P447" i="269"/>
  <c r="Q410" i="269"/>
  <c r="Q527" i="269"/>
  <c r="Q560" i="269"/>
  <c r="Q637" i="269"/>
  <c r="Q406" i="269"/>
  <c r="Q640" i="269"/>
  <c r="N34" i="269"/>
  <c r="P34" i="269" s="1"/>
  <c r="M34" i="269"/>
  <c r="O34" i="269" s="1"/>
  <c r="Q548" i="269"/>
  <c r="O564" i="269"/>
  <c r="M429" i="269"/>
  <c r="O429" i="269" s="1"/>
  <c r="Q429" i="269" s="1"/>
  <c r="U52" i="269"/>
  <c r="U70" i="269"/>
  <c r="Q51" i="269"/>
  <c r="P181" i="269"/>
  <c r="P32" i="269"/>
  <c r="O70" i="269"/>
  <c r="P387" i="269"/>
  <c r="Q25" i="269"/>
  <c r="Q385" i="269"/>
  <c r="O306" i="269"/>
  <c r="U206" i="269"/>
  <c r="U407" i="269"/>
  <c r="U447" i="269"/>
  <c r="P70" i="269"/>
  <c r="O387" i="269"/>
  <c r="U550" i="269"/>
  <c r="Q402" i="269"/>
  <c r="Q393" i="269"/>
  <c r="Q21" i="269"/>
  <c r="Q184" i="269"/>
  <c r="O682" i="269"/>
  <c r="S678" i="269"/>
  <c r="Q562" i="269"/>
  <c r="U564" i="269"/>
  <c r="Q308" i="269"/>
  <c r="Q310" i="269" s="1"/>
  <c r="Q426" i="269"/>
  <c r="N389" i="269"/>
  <c r="P389" i="269" s="1"/>
  <c r="P394" i="269" s="1"/>
  <c r="Q451" i="269"/>
  <c r="Q452" i="269" s="1"/>
  <c r="O181" i="269"/>
  <c r="Q98" i="269"/>
  <c r="M75" i="269"/>
  <c r="O75" i="269" s="1"/>
  <c r="U75" i="269"/>
  <c r="N75" i="269"/>
  <c r="P75" i="269" s="1"/>
  <c r="P407" i="269"/>
  <c r="P657" i="269"/>
  <c r="U181" i="269"/>
  <c r="U389" i="269"/>
  <c r="U394" i="269" s="1"/>
  <c r="O52" i="269"/>
  <c r="U429" i="269"/>
  <c r="U432" i="269" s="1"/>
  <c r="O32" i="269"/>
  <c r="Q414" i="269"/>
  <c r="Q546" i="269"/>
  <c r="Q169" i="269"/>
  <c r="Q36" i="269"/>
  <c r="P52" i="269"/>
  <c r="Q91" i="269"/>
  <c r="Q636" i="269"/>
  <c r="Q299" i="269"/>
  <c r="Q558" i="269"/>
  <c r="O407" i="269"/>
  <c r="O394" i="269"/>
  <c r="U657" i="269"/>
  <c r="Q283" i="269"/>
  <c r="O423" i="269"/>
  <c r="P564" i="269"/>
  <c r="P432" i="269"/>
  <c r="O657" i="269"/>
  <c r="O447" i="269"/>
  <c r="Q176" i="269"/>
  <c r="Q397" i="269"/>
  <c r="Q171" i="269"/>
  <c r="Q441" i="269"/>
  <c r="Q634" i="269"/>
  <c r="C581" i="269"/>
  <c r="U423" i="269" l="1"/>
  <c r="P364" i="269"/>
  <c r="P423" i="269"/>
  <c r="P662" i="269" s="1"/>
  <c r="U76" i="269"/>
  <c r="U79" i="269" s="1"/>
  <c r="N76" i="269"/>
  <c r="P76" i="269" s="1"/>
  <c r="M76" i="269"/>
  <c r="O76" i="269" s="1"/>
  <c r="O79" i="269" s="1"/>
  <c r="U99" i="269"/>
  <c r="U100" i="269" s="1"/>
  <c r="M99" i="269"/>
  <c r="O99" i="269" s="1"/>
  <c r="O100" i="269" s="1"/>
  <c r="O346" i="269"/>
  <c r="O364" i="269" s="1"/>
  <c r="Q539" i="269"/>
  <c r="U686" i="269"/>
  <c r="U687" i="269" s="1"/>
  <c r="N693" i="269"/>
  <c r="P693" i="269" s="1"/>
  <c r="Q693" i="269" s="1"/>
  <c r="K695" i="269"/>
  <c r="K748" i="269" s="1"/>
  <c r="N694" i="269"/>
  <c r="P694" i="269" s="1"/>
  <c r="Q694" i="269" s="1"/>
  <c r="K346" i="269"/>
  <c r="K364" i="269" s="1"/>
  <c r="O695" i="269"/>
  <c r="N344" i="269"/>
  <c r="P344" i="269" s="1"/>
  <c r="Q344" i="269" s="1"/>
  <c r="U344" i="269"/>
  <c r="Q343" i="269"/>
  <c r="N345" i="269"/>
  <c r="P345" i="269" s="1"/>
  <c r="Q345" i="269" s="1"/>
  <c r="Q684" i="269"/>
  <c r="Q687" i="269" s="1"/>
  <c r="P687" i="269"/>
  <c r="U678" i="269"/>
  <c r="U682" i="269" s="1"/>
  <c r="N678" i="269"/>
  <c r="P678" i="269" s="1"/>
  <c r="Q35" i="269"/>
  <c r="P39" i="269"/>
  <c r="Q192" i="269"/>
  <c r="P192" i="269"/>
  <c r="O206" i="269"/>
  <c r="Q203" i="269"/>
  <c r="Q204" i="269"/>
  <c r="P206" i="269"/>
  <c r="Q422" i="269"/>
  <c r="Q423" i="269" s="1"/>
  <c r="P95" i="269"/>
  <c r="U95" i="269"/>
  <c r="P100" i="269"/>
  <c r="O39" i="269"/>
  <c r="O95" i="269"/>
  <c r="Q95" i="269"/>
  <c r="Q447" i="269"/>
  <c r="Q52" i="269"/>
  <c r="Q70" i="269"/>
  <c r="O687" i="269"/>
  <c r="Q387" i="269"/>
  <c r="O432" i="269"/>
  <c r="O662" i="269" s="1"/>
  <c r="Q306" i="269"/>
  <c r="Q432" i="269"/>
  <c r="Q550" i="269"/>
  <c r="Q657" i="269"/>
  <c r="Q34" i="269"/>
  <c r="Q407" i="269"/>
  <c r="U662" i="269"/>
  <c r="V662" i="269" s="1"/>
  <c r="Q564" i="269"/>
  <c r="Q32" i="269"/>
  <c r="Q75" i="269"/>
  <c r="Q389" i="269"/>
  <c r="Q394" i="269" s="1"/>
  <c r="Q181" i="269"/>
  <c r="C582" i="269"/>
  <c r="O748" i="269" l="1"/>
  <c r="Q76" i="269"/>
  <c r="Q79" i="269" s="1"/>
  <c r="P79" i="269"/>
  <c r="P311" i="269" s="1"/>
  <c r="Q99" i="269"/>
  <c r="Q100" i="269" s="1"/>
  <c r="Q695" i="269"/>
  <c r="U346" i="269"/>
  <c r="Q346" i="269"/>
  <c r="Q364" i="269" s="1"/>
  <c r="P346" i="269"/>
  <c r="O311" i="269"/>
  <c r="U311" i="269"/>
  <c r="V311" i="269" s="1"/>
  <c r="Q39" i="269"/>
  <c r="Q678" i="269"/>
  <c r="Q682" i="269" s="1"/>
  <c r="Q748" i="269" s="1"/>
  <c r="P682" i="269"/>
  <c r="P748" i="269" s="1"/>
  <c r="Q206" i="269"/>
  <c r="Q662" i="269"/>
  <c r="C583" i="269"/>
  <c r="U364" i="269" l="1"/>
  <c r="Q311" i="269"/>
  <c r="C584" i="269"/>
  <c r="U366" i="269" l="1"/>
  <c r="V372" i="269" s="1"/>
  <c r="V364" i="269"/>
  <c r="C585" i="269"/>
  <c r="U758" i="269" l="1"/>
  <c r="C586" i="269"/>
  <c r="C587" i="269" l="1"/>
  <c r="C588" i="269" l="1"/>
  <c r="C589" i="269" s="1"/>
  <c r="C590" i="269" s="1"/>
  <c r="C591" i="269" s="1"/>
  <c r="C592" i="269" s="1"/>
  <c r="C593" i="269" s="1"/>
  <c r="C594" i="269" s="1"/>
  <c r="C595" i="269" s="1"/>
  <c r="C596" i="269" s="1"/>
  <c r="C597" i="269" s="1"/>
  <c r="C598" i="269" s="1"/>
  <c r="C599" i="269" s="1"/>
  <c r="C600" i="269" s="1"/>
  <c r="C601" i="269" s="1"/>
  <c r="C602" i="269" s="1"/>
  <c r="C603" i="269" s="1"/>
  <c r="C604" i="269" s="1"/>
  <c r="C605" i="269" s="1"/>
  <c r="C606" i="269" s="1"/>
  <c r="C607" i="269" s="1"/>
  <c r="C608" i="269" s="1"/>
  <c r="C609" i="269" s="1"/>
  <c r="C610" i="269" s="1"/>
  <c r="C611" i="269" s="1"/>
  <c r="C612" i="269" s="1"/>
  <c r="C613" i="269" s="1"/>
  <c r="C614" i="269" s="1"/>
  <c r="C615" i="269" s="1"/>
  <c r="C616" i="269" s="1"/>
  <c r="C617" i="269" s="1"/>
  <c r="C618" i="269" s="1"/>
  <c r="C619" i="269" s="1"/>
  <c r="C620" i="269" s="1"/>
  <c r="C621" i="269" s="1"/>
  <c r="C622" i="269" s="1"/>
  <c r="C623" i="269" s="1"/>
  <c r="J5155" i="270" s="1"/>
  <c r="D5155" i="270" l="1"/>
  <c r="D5239" i="270"/>
  <c r="D5058" i="270"/>
  <c r="J5085" i="270"/>
  <c r="D5085" i="270"/>
  <c r="J5073" i="270"/>
  <c r="J5133" i="270"/>
  <c r="D5166" i="270"/>
  <c r="D5249" i="270"/>
  <c r="D5011" i="270"/>
  <c r="J5177" i="270"/>
  <c r="J5208" i="270"/>
  <c r="D5259" i="270"/>
  <c r="J5218" i="270"/>
  <c r="J5058" i="270"/>
  <c r="D5108" i="270"/>
  <c r="J5108" i="270"/>
  <c r="D5177" i="270"/>
  <c r="D5144" i="270"/>
  <c r="D4995" i="270"/>
  <c r="J5239" i="270"/>
  <c r="J4995" i="270"/>
  <c r="D5133" i="270"/>
  <c r="J5166" i="270"/>
  <c r="J4947" i="270"/>
  <c r="J5122" i="270"/>
  <c r="D5073" i="270"/>
  <c r="J5229" i="270"/>
  <c r="J4982" i="270"/>
  <c r="D4982" i="270"/>
  <c r="J5198" i="270"/>
  <c r="J5097" i="270"/>
  <c r="D5198" i="270"/>
  <c r="D5208" i="270"/>
  <c r="D5097" i="270"/>
  <c r="D5272" i="270"/>
  <c r="D5046" i="270"/>
  <c r="J5011" i="270"/>
  <c r="D5229" i="270"/>
  <c r="J5272" i="270"/>
  <c r="J5188" i="270"/>
  <c r="D5188" i="270"/>
  <c r="J5144" i="270"/>
  <c r="D5122" i="270"/>
  <c r="J5046" i="270"/>
  <c r="D4947" i="270"/>
  <c r="J5249" i="270"/>
  <c r="J5259" i="270"/>
  <c r="V692" i="269" l="1"/>
  <c r="U695" i="269"/>
  <c r="U748" i="269" s="1"/>
  <c r="V748" i="269" l="1"/>
  <c r="U756" i="269"/>
  <c r="V756" i="269" s="1"/>
  <c r="U759" i="269" l="1"/>
  <c r="U760" i="269" s="1"/>
  <c r="V760" i="269" l="1"/>
  <c r="P16" i="269"/>
</calcChain>
</file>

<file path=xl/sharedStrings.xml><?xml version="1.0" encoding="utf-8"?>
<sst xmlns="http://schemas.openxmlformats.org/spreadsheetml/2006/main" count="8354" uniqueCount="1200">
  <si>
    <t>Nº</t>
  </si>
  <si>
    <t>ÍTEM DE PAGO</t>
  </si>
  <si>
    <t xml:space="preserve">ESPECIFICACIONES </t>
  </si>
  <si>
    <t>DESCRIPCIÓN</t>
  </si>
  <si>
    <t>UND.</t>
  </si>
  <si>
    <t>CANTIDAD</t>
  </si>
  <si>
    <t>VALOR UNITARIO</t>
  </si>
  <si>
    <t xml:space="preserve">VALOR TOTAL                                </t>
  </si>
  <si>
    <t>Subtotal</t>
  </si>
  <si>
    <t xml:space="preserve">SUBTOTAL OBRAS </t>
  </si>
  <si>
    <t>PORCENTAJE</t>
  </si>
  <si>
    <t>ADMINISTRACIÓN</t>
  </si>
  <si>
    <t>A=</t>
  </si>
  <si>
    <t xml:space="preserve">IMPREVISTO
</t>
  </si>
  <si>
    <t>I=</t>
  </si>
  <si>
    <t xml:space="preserve">UTILIDAD
</t>
  </si>
  <si>
    <t>U=</t>
  </si>
  <si>
    <t>TOTAL A.I.U</t>
  </si>
  <si>
    <t>A.I.U.=</t>
  </si>
  <si>
    <t>1,0 PRELIMINARES</t>
  </si>
  <si>
    <t>Localización y replanteo topográfico</t>
  </si>
  <si>
    <t>m2</t>
  </si>
  <si>
    <t>Cerramiento en Lamina de zinc h=2.0 m, incluye listones de madera 1" x 2" y concreto 3000 psi</t>
  </si>
  <si>
    <t>m</t>
  </si>
  <si>
    <t>DESCAPOTE CON EQUIPO -Corte de maleza, descapote y nivelación del área Interior al campo de juego (INCLUYE CARGUE Y RETIRO)</t>
  </si>
  <si>
    <t>m3</t>
  </si>
  <si>
    <t>Demolición de anden (Incluye retiro al botadero autorizado)</t>
  </si>
  <si>
    <t>Demolición de plantillas y Senderos internos existentes (Incluye retiro al botadero autorizado)</t>
  </si>
  <si>
    <t>Corte de arboles ( 10 m&lt;H&lt;20 m. incluye desenraice, retiro y disposición final)</t>
  </si>
  <si>
    <t>Und</t>
  </si>
  <si>
    <t>Demolición de estructuras en concreto reforzado  (Incluye retiro al botadero autorizado)</t>
  </si>
  <si>
    <t>Demolición de Muros en block No 4 y No 6, e=0,10 y 0,15 mts  (Incluye retiro al botadero autorizado)</t>
  </si>
  <si>
    <t>DESMONTE DE CUBIERTAS EXISTENTES: Desmonte cubiertas existentes en laminas de zinc</t>
  </si>
  <si>
    <t>DESMONTE DE ESTRUCRURA DE CUBIERTA EXISTENTE</t>
  </si>
  <si>
    <t>M</t>
  </si>
  <si>
    <t>Desmonte de malla existente incluye corte de verticales</t>
  </si>
  <si>
    <t>2,0 ACERO DE REFUERZO</t>
  </si>
  <si>
    <t>Acero de Refuerzo 60000 PSI (incluye suministro, figurado y fijación)</t>
  </si>
  <si>
    <t>KG</t>
  </si>
  <si>
    <t>ACERO ESTRUCTURAL: ASTM A 500 Gr. C ó A36 - GRADERIAS, BANCA DE SUPLENTES (incluye suministro, figurado y fijación)</t>
  </si>
  <si>
    <t>ESTRUCTURA EN PERFILERIA IPE: ASTM A 572 Gr. 50 Y Columnas en PTE-16"X12.7mm ASTM A 500 Gr (incluye suministro, figurado y fijación).</t>
  </si>
  <si>
    <t>ESTRUCTURA EN TUBERIA: ASTM A 500 Gr. C ó A36  para banca de suplentes (incluye suministro, figurado y fijación).</t>
  </si>
  <si>
    <t>Acero de refuerzo Tanque de almacenamiento (incluye suministro, figurado y fijación)</t>
  </si>
  <si>
    <t>3,0 ESTRUCTURA EN CONCRETO DE GRADERIAS, DOGOUT, BAÑOS, CASETAS, ZONA DE COMIDA,  ENTRADA, BODEGAS, CUARTO ELECTRICO, 
CUARTO DE CONTROL, BOMBAS, TANQUE, BOXCULVERT.</t>
  </si>
  <si>
    <t>EXCAVACIONES :Excavación manual, cimentación (Incluye cargue, transporte y disposición final).</t>
  </si>
  <si>
    <t>Concreto ciclópeo 3000 psi, relación 60%C/40%P.  (Incluye suministro y colocación).</t>
  </si>
  <si>
    <t>Solado de limpieza- concreto de 2000 psi, incluye suministro e instalación).</t>
  </si>
  <si>
    <t>RELLENO SELECCIONADO: Relleno compactado para área cimentaciones, con material seleccionado, zahorra al 95% del proctor estándar en cimentación. (suministro, humedecimiento y compactación).</t>
  </si>
  <si>
    <t>CONCRETO VIGAS  CIMIENTOS, ZAPATAS Y AMARRES: Concreto premezclado de 4000 PSI para Viga Cimiento y zapatas  (incluye suministro e instalación)</t>
  </si>
  <si>
    <t>COLUMNAS DE CONCRETO A LA VISTA: Concreto  de 4000 PSI  (incluye suministro, formaletería e instalación).</t>
  </si>
  <si>
    <t>CONCRETOS DE VIGAS: Concreto  de 4000 PSI  (incluye suministro e instalación)</t>
  </si>
  <si>
    <t>Losa Graderías e=0,10, Concreto f¨c = 4000 PS  (incluye suministro e instalación)</t>
  </si>
  <si>
    <t>M2</t>
  </si>
  <si>
    <t>Losa  e=0,060, Concreto f¨c = 4000 PS  (incluye suministro e instalación)</t>
  </si>
  <si>
    <t>Losa Graderías e=0,15, Concreto f¨c = 4000 PS  (incluye suministro e instalación)</t>
  </si>
  <si>
    <t>CONCRETO PARA TANQUE DE AGUA POTABLE 4000 PSI., (Incluye suministro, formaletería e instalación).</t>
  </si>
  <si>
    <t>4,0 TERRENO DE JUEGO</t>
  </si>
  <si>
    <t>EXCAVACIONES MECANICAS VARIAS EN MATERIAL COMUN SECO (Incluye cargue, transporte y disposición final).</t>
  </si>
  <si>
    <t>EXCAVACIONES: (Excavación manual incluye cargue, transporte y disposición final)</t>
  </si>
  <si>
    <t>Conformación de subrasante por compactación simple.</t>
  </si>
  <si>
    <t>Material de mejoramiento según estudio de suelo e=0.30 m, compactado al 95% del Proctor estándar y conformación de la superficie de drenaje con pendientes de 0,5% en dirección a filtros. (Incluye suministro e instalación).</t>
  </si>
  <si>
    <t>Geomembrana homogénea PEAD 30 mils, con resistencia a la intemperie,  impermeabilizante, (Incluye suministro e instalación).</t>
  </si>
  <si>
    <t>Relleno triturado 1/2" - 1" filtrante 20 cm espesor, (Incluye suministro e instalación).</t>
  </si>
  <si>
    <t>Suministro e instalación de MACDRAIN 2L 20.2, (Incluye suministro e instalación).</t>
  </si>
  <si>
    <t>Suministro e instalación Geodren Tubular MACDRAIN TD 2L 20.2, (Incluye suministro e instalación).</t>
  </si>
  <si>
    <t>ml</t>
  </si>
  <si>
    <t>Suministro e instalación Tubería Tubería Novafort 8" perforada corrugada, (Incluye suministro e instalación).</t>
  </si>
  <si>
    <t>Suministro e instalación de Tubería Novafort 6", (Incluye suministro e instalación).</t>
  </si>
  <si>
    <t>Suministro e instalación de Tubería Novafort 14", (Incluye suministro e instalación).</t>
  </si>
  <si>
    <t>Grama sintética en fibra artificial de polietileno fibrilado, de tercera generación, incluye un riego con arena de sílice y grano de caucho, (Incluye suministro e instalación).</t>
  </si>
  <si>
    <t>Cámaras de inspección: 80 CM X 80 CM en concreto 3000 psi, (Incluye suministro e instalación).</t>
  </si>
  <si>
    <t>Un</t>
  </si>
  <si>
    <t>Losa para cancha múltiple e=15 cm en concreto 3500 psi, (Incluye suministro e instalación).</t>
  </si>
  <si>
    <t xml:space="preserve">Suministro e instalación de sistema de drenaje  ACODRAINE N200 20,0 H36 </t>
  </si>
  <si>
    <t xml:space="preserve">Suministro y  Relleno material seleccionado con  zahorra de granulometría fina, arena y polvillo, en relación 2:2:1,  (Cernida-mezclada), extendida en forma   homogénea, en un e=0,10 m y acabada en una capa de 1cm en la parte superior para material acondicionador tipo polvo de ladrillo. </t>
  </si>
  <si>
    <t>5,0 MAMPOSTERIA (MUROS DE CARRAMIENTO INTERIORES, DIVISIRIOS Y EXTERIORES)</t>
  </si>
  <si>
    <t>Suministro y Levante en Block No 6 hueco, con mortero pega 1:4</t>
  </si>
  <si>
    <t>Suministro y Levante en Block No 4 hueco, con mortero pega 1:4</t>
  </si>
  <si>
    <t>Pañete en  mortero 1:3 para muros y paredes (incluye suministro)</t>
  </si>
  <si>
    <t>Dintel en concreto de 3000psi. (incluye suministro, instalación de concreto y formaletaria)</t>
  </si>
  <si>
    <t>CONCRETO VIGA ANILLO: Concreto para viga anillo de 3500 PSI (incluye suministro, instalación de concreto y formaletaria).</t>
  </si>
  <si>
    <t>Mesón de lavamanos A 0.60 mts, fabricado en sitio con láminas de granito San Gabriel o similar acabado brillante. (Incluye suministro y mortero de fijación)</t>
  </si>
  <si>
    <t>MESONES EN CONCRETO A=0.60 mts. (incluye suministro, instalación de concreto 2500PSI, formaleta y refuerzo) e:0.10 m.</t>
  </si>
  <si>
    <t>6,0 CERRAMIENTOS EXTERIORES E INTERIORES</t>
  </si>
  <si>
    <t xml:space="preserve">EXCAVACIONES :Excavación manual, cimentación cerramiento </t>
  </si>
  <si>
    <t>Concreto ciclópeo 3000 psi, relación 60%C/40%P.  (Incluye suministro y colocación)</t>
  </si>
  <si>
    <t>RELLENO SELECCIONADO: Relleno compactado para área cimentaciones, con material seleccionado, zahorra al 95% del proctor estándar en cimentación. (suministro, humedecimiento y compactación)</t>
  </si>
  <si>
    <t>CONCRETO VIGAS  CIMIENTOS, ZAPATAS Y AMARRES: (incluye suministro e instalación, Concreto 4000 PSI).</t>
  </si>
  <si>
    <t>Suministro y levante MURO DE BLOCK No6 HUECO abujardado con  mortero 1:4.</t>
  </si>
  <si>
    <t>Suministro y levante MURO DE BLOCK No8 HUECO con  mortero 1:4.</t>
  </si>
  <si>
    <t>CONCRETO VIGA DE CONFIANAMIENTO 4000 PSI, (Incluye suministro, formalete ría e instalación).</t>
  </si>
  <si>
    <t>Muro en tubería galvanizada de 2.5"  e: 2.5 mm  h=3.0 m serapados cada 15 cm y empotrado 50cm, incluye pintura epoxica poliamida tipo 1.</t>
  </si>
  <si>
    <t>CERRAMIENTO EN PANELES GALVANIZADO: Panel reja contemporáneo de acero de 2.4 m de alto por 2.5 de Ancho  con un doble alambre vertical calibre 656 y un alambre horizontal calibre  6 y un alambre horizontal calibre, abertura 50 mm x 200mm.Tubo calibre 16 de 3" x 3" con tapa en polipropileno Y Abrazadera metálica de acero 3" x 3" con tornillo cabeza de coche en acero inoxidable, perno en acero inoxidable y tuerca de seguridad en acero inoxidable.</t>
  </si>
  <si>
    <t>Pintura en Vinilo tipo Koraza o similar para exterior, dos manos. Incluye suministro.</t>
  </si>
  <si>
    <t>Cerramiento en malla eslabonada tipo ciclón cal9 ojo 2x2" enmarcados en tubería hg 2" cal 2,5mm, con viga superior hg 2" cal 2,5mm, h&gt;=1,5m según planos de diseño.</t>
  </si>
  <si>
    <t>7,0 CUBIERTAS, MANTOS IMPERMEABILIZADOS</t>
  </si>
  <si>
    <t>Cubierta en lamina tipo Sándwich con aislante en poliuretano PUR expandido de alta densidad espesor 30mm, Incluye kit de fijación para cubierta, accesorio de aceros D305 - DC10 e instalación de la lamina.</t>
  </si>
  <si>
    <t>Cubiertas metálica con estructura tubular y paneles de policarbonato alveolar traslucido gris ahumado para  Banca suplentes</t>
  </si>
  <si>
    <t>Impermeabilización de cubierta plana con manto edil 3mm con foil de aluminio (incluye suministro e instalación)</t>
  </si>
  <si>
    <t>8,0 RED DE AGUA POTABLE, SANITARIA Y RESIDUALES</t>
  </si>
  <si>
    <t>Excavaciones: excavación manual, (incluye cargue, transporte y disposición final)</t>
  </si>
  <si>
    <t>Relleno en arena, (incluye suministro e instalación).</t>
  </si>
  <si>
    <t>Relleno en material seleccionado del sitio.</t>
  </si>
  <si>
    <t>Suministro e instalación tubería pvc-sanitaria de 2"</t>
  </si>
  <si>
    <t>Suministro e instalación tubería pvc-sanitaria de 4"</t>
  </si>
  <si>
    <t>Suministro e instalación tubería pvc-sanitaria de 6"</t>
  </si>
  <si>
    <t>Suministro e instalación tubería de ventilación pvc-s de 2"</t>
  </si>
  <si>
    <t>Suministro e instalación codo sanitario pvc-s 45° de 2"</t>
  </si>
  <si>
    <t>Suministro e instalación codo sanitario pvc-s 90° de 2"</t>
  </si>
  <si>
    <t>Suministro e instalación codo sanitario pvc-s 45° de 4"</t>
  </si>
  <si>
    <t>Suministro e instalación codo sanitario pvc-s 90° de 4"</t>
  </si>
  <si>
    <t>Suministro e instalación reducción sanitario pvc-s de 4"-2"</t>
  </si>
  <si>
    <t>Suministro e instalación sifón sanitario  pvc-s de 2"</t>
  </si>
  <si>
    <t>Suministro e instalación tapón sanitario  pvc-s de 2"</t>
  </si>
  <si>
    <t>Suministro e instalación tapón sanitario  pvc-s de 4"</t>
  </si>
  <si>
    <t>Suministro e instalación Yee sanitario pvc-s de 2"</t>
  </si>
  <si>
    <t>Suministro e instalación Yee sanitario pvc-s de 4"-2"</t>
  </si>
  <si>
    <t>Suministro e instalación Yee sanitario pvc-s de 4"</t>
  </si>
  <si>
    <t>Suministro e instalación unión sanitario pvc-s de 4"</t>
  </si>
  <si>
    <t>Cámara de inspección sanitaria: 60 cm x 60 cm</t>
  </si>
  <si>
    <t>Suministro e instalación tubería hidráulica pvc-p de 3/4"</t>
  </si>
  <si>
    <t>Suministro e instalación tubería hidráulica pvc-p de 1"</t>
  </si>
  <si>
    <t>Suministro e instalación tubería hidráulica pvc-p de 1 1/2"</t>
  </si>
  <si>
    <t>Suministro e instalación tubería hidráulica pvc-p de 2"</t>
  </si>
  <si>
    <t>Suministro e instalación tubería hidráulica pvc-p de 2 1/2"</t>
  </si>
  <si>
    <t>Suministro e instalación tubería hidráulica pvc-p de 3"</t>
  </si>
  <si>
    <t>Suministro e instalación de codo pvc-p 90° de 3/4"</t>
  </si>
  <si>
    <t>Suministro e instalación de Tee pvc-p de 3/4"</t>
  </si>
  <si>
    <t>Suministro e instalación Tee de pvc-p de 1 1/2"</t>
  </si>
  <si>
    <t>Suministro e instalación codo pvc-p de 90° de 1 1/2"</t>
  </si>
  <si>
    <t>Suministro e instalación Tee pvc-p de 1"</t>
  </si>
  <si>
    <t>Suministro e instalación codo pvc-p de 90° de 1 "</t>
  </si>
  <si>
    <t>Suministro e instalación Tee pvc-p de de 2"</t>
  </si>
  <si>
    <t>Suministro e instalación Tee de pvc-p de 2 1/2"</t>
  </si>
  <si>
    <t>Suministro e instalación codo pvc-p de 90° de 2 1/2"</t>
  </si>
  <si>
    <t>Suministro e instalación Tee pvc-p  de 3"</t>
  </si>
  <si>
    <t>Suministro e instalación reducción pvc-p de 1" - 3/4"</t>
  </si>
  <si>
    <t>Suministro e instalación reducción pvc-p de 1 1/2" - 3/4"</t>
  </si>
  <si>
    <t>Suministro e instalación reducción pvc-p de 1 1/2" - 1"</t>
  </si>
  <si>
    <t>Suministro e instalación reducción pvc-p de 2" - 1 1/2"</t>
  </si>
  <si>
    <t>Suministro e instalación reducción pvc-p de 2 1/2" - 2"</t>
  </si>
  <si>
    <t>Suministro e instalación reducción pvc-p de 3 "- 2 1/2"</t>
  </si>
  <si>
    <t>Suministro e instalación reducción pvc-p de 3/4" - 1/2"</t>
  </si>
  <si>
    <t>Suministro e instalación unión pvc-p de 1"</t>
  </si>
  <si>
    <t>Suministro e instalación unión pvc-p de 2"</t>
  </si>
  <si>
    <t>Suministro e instalación unión pvc-p de 2 1/2"</t>
  </si>
  <si>
    <t>Suministro e instalación de adaptador macho pvc-p de 1/2"</t>
  </si>
  <si>
    <t>Suministro e instalación de adaptador hembra pvc-p de 1/2"</t>
  </si>
  <si>
    <t>Suministro e instalación de válvula de cierre rápido de 3/4"</t>
  </si>
  <si>
    <t>Suministro e instalación de válvula de cierre rápido de 1 1/4"</t>
  </si>
  <si>
    <t>Suministro e instalación de válvula de cierre rápido de 1 12"</t>
  </si>
  <si>
    <t>Suministro e instalación de punto hidráulico de 1/2"</t>
  </si>
  <si>
    <t>Suministro e instalación de sistema de bombeo de agua potable, consiste en dos bombas de q = 9,0 lps, cdt: 40 m; pot: 8,0 hp y tanque hidroneumático de vol: 1000 lts</t>
  </si>
  <si>
    <t>GLB</t>
  </si>
  <si>
    <t>Suministro e instalación de tubería contraincendios pvc-c900 de 4"</t>
  </si>
  <si>
    <t>Suministro e instalación Tee pvc c-900 de 4" incluye restrictores</t>
  </si>
  <si>
    <t>Suministro e instalación codo 90 pvc c-900 de 4" incluye restrictores</t>
  </si>
  <si>
    <t>Suministro e instalación transición de tubería pvc c-900 de 4" a tubería astm-a795 con costura sch 10 2 1/2"</t>
  </si>
  <si>
    <t>Suministro e instalación codo ranurado ul/fm 2 1/2"</t>
  </si>
  <si>
    <t>Suministro e instalación Tee ranurada ul/fm 2 1/2"</t>
  </si>
  <si>
    <t>Reducción concéntrica ranurada ul/fm – 2 1/2″ x 1 1/2″</t>
  </si>
  <si>
    <t>Suministro e instalación unión rígida ul/fm 1 1/2"</t>
  </si>
  <si>
    <t>Suministro e instalación unión rígida ul/fm 2 1/2"</t>
  </si>
  <si>
    <t>Suministro e instalación gabinete contra incendios tipo iii medidas de 99 x 77 x 22 incluye (válvula angular de 2 1/2", válvula angular regulada de 1 1/2", llave sppaner, hacha mango fibra de vidrio, manguera de 1 1/2" x 100ft, boquilla chorro niebla de 1 1/2"</t>
  </si>
  <si>
    <t>Suministro e instalación de equipos de bombeo: comprende una bomba de:  q = 200 gpm-100 psi,cdt: 60 m; p: 16 hp, incluye tablero de control de bomba, válvula de alivio de aire, fluxómetro, bomba jockey, tablero de control de jockey, accesorios hidráulicos y otros.</t>
  </si>
  <si>
    <t>9,0 PISOS, ENCHAPES, PINTURA Y ACABADOS</t>
  </si>
  <si>
    <t>EXCAVACIONES : (Excavación manual incluye cargue, transporte y disposición final).</t>
  </si>
  <si>
    <t>RELLENO SELECCIONADO: Relleno compactado con material seleccionado, zahorra al 95% del Proctor estándar en cimentación. (suministro, humedecimiento y compactación).</t>
  </si>
  <si>
    <t>Plantilla para piso e: 0,1 m (incluye malla electrosoldada, suministro, instalación de concreto 3000PSI y formaleta).</t>
  </si>
  <si>
    <t>Rampas para movilidad reducida e= 0,08 cm (incluye malla electrosoldada, suministro e instalación de concreto 3000PSI, formaleta y rayado en forma espina pescado)</t>
  </si>
  <si>
    <t>Pisos en granito de 30x30 cm , Baños, cafetería, camerinos. (incluye suministro y aplicación de boquilla en juntas).</t>
  </si>
  <si>
    <t xml:space="preserve">Enchape en pared cerámica  blanca 20x30 o similar (Incluye suministro, pegante, y aplicación de boquilla en juntas). </t>
  </si>
  <si>
    <t>Pintura en Vinilo tipo 1, dos manos (incluye suministro)</t>
  </si>
  <si>
    <t>Pintura en Vinilo tipo Koraza o similar para exterior, dos manos, incluye suministro.</t>
  </si>
  <si>
    <t xml:space="preserve">Suministro e instalación de Cielo Raso en superboard 6 mm incluye pintura en vinilo tipo I y estructura. </t>
  </si>
  <si>
    <t>Suministro e instalación de Estuco plástico, para muros y paredes</t>
  </si>
  <si>
    <t>Suministro e instalación de piso en estoperol para Dugouts.</t>
  </si>
  <si>
    <t xml:space="preserve">Suministro e instalación de Media Caña en Granito Pulido 10cm </t>
  </si>
  <si>
    <t>10,0 CARPINTERIA METALICA (PUERTAS, VENTANAS Y BARANDAS)</t>
  </si>
  <si>
    <t xml:space="preserve">Ventana Corrediza NC300 en perfilería de aluminio extruido 6063-T5 con acabado Polycron Anodic clear o similar, con vidrios en cristal incoloro de 6mm templado.. Sistema con 76 mm de profundidad del marco. </t>
  </si>
  <si>
    <t>Puerta en aluminio P-6, diseño y dimensiones según planos. (Incluye suministro e instalación).</t>
  </si>
  <si>
    <t>Puerta Lateral doble de acceso al campo en tubería metálica P-2, diseño y dimensiones según planos. Incluye suministro e instalación).</t>
  </si>
  <si>
    <t>Puerta Principal doble en tubería metálica, diseño y dimensiones según planos.</t>
  </si>
  <si>
    <t>Suministro e instalación de puertas doble hoja para depósitos, tableros generales y subestación eléctrica en aluminio, (Incluye suministro e instalación).</t>
  </si>
  <si>
    <t>Baranda metálica en tubular de acero con pintura de esmalte color rojo, (Incluye suministro e instalación).</t>
  </si>
  <si>
    <t>Divisiones de Baños en láminas de acero Galvanizada Cal-20 y soportes y espesor de e3 mm y con herrajes en acero inoxidable, (Incluye suministro e instalación).</t>
  </si>
  <si>
    <t>Divisiones de Orinales en láminas de acero Galvanizada Cal-20 y espesor de e3 mm  y con herrajes en acero inoxidable, (Incluye suministro e instalación)</t>
  </si>
  <si>
    <t>11,0 APARATOS SANITARIOS, ACCESORIOS DE BAÑOS Y CAFETERIAS</t>
  </si>
  <si>
    <t>Lavamanos de empotrar tipo san lorenzo de corona o similar, (incluye grifería, suministro e instalación).</t>
  </si>
  <si>
    <t>Suministro instalación de orinales Colgantes de uso institucional  incluye grifería y acceso</t>
  </si>
  <si>
    <t>Sanitario de tanque color blanco tipo corona o similar, línea institucional</t>
  </si>
  <si>
    <t>Sanitario para discapacitados color blanco tipo corona o similar, línea institucional</t>
  </si>
  <si>
    <t>Dispensador de toallas de papel en acero inoxidable</t>
  </si>
  <si>
    <t>Dispensador de jabón liquido en acero inoxidable</t>
  </si>
  <si>
    <t>Porta papel en acero inoxidable</t>
  </si>
  <si>
    <t>Juego de ducha cerámico nacional blanco tipo corona o similar</t>
  </si>
  <si>
    <t xml:space="preserve">Kit de para ducha </t>
  </si>
  <si>
    <t>Suministro de papelera en acero de pedal de 5 lts.</t>
  </si>
  <si>
    <t>Suministro e instalación de Juego de barras de apoyo para personas con movilidad reducida</t>
  </si>
  <si>
    <t>Suministro e instalación de lavaplatos doble poceta en acero inoxidable de 120x50 cm,  incluye sifón mas canastilla y grifería con acople 1/2"</t>
  </si>
  <si>
    <t>12,0 INSTALACIONES ELECTRICAS</t>
  </si>
  <si>
    <t>Salidas electricas para iluminacion interna 120v en tuberia Shc 40</t>
  </si>
  <si>
    <t>un</t>
  </si>
  <si>
    <t>Salidas electricas para iluminacion graderias  principal 220v en tuberia EMT 3/4</t>
  </si>
  <si>
    <t xml:space="preserve">Salida de tomacorrientes 120V completo </t>
  </si>
  <si>
    <t>Salida de tomacorrientes y aires 220V completo</t>
  </si>
  <si>
    <t>Salida tomacorriente  tipo GFCI  completo</t>
  </si>
  <si>
    <t>Salida para interruptor sencillo completo</t>
  </si>
  <si>
    <t>Salida para interruptor doble completo</t>
  </si>
  <si>
    <t>Salida para ilumiancion de sendero a 220V en tuberia Sch 40</t>
  </si>
  <si>
    <t>Salida para ilumiancion de sendero y areas internas de lamparas street light a 220V en tuberia PVC</t>
  </si>
  <si>
    <t>Salida para ilumiancion de cancha de basquetbol a 220V en tuberia EMT 3/4"</t>
  </si>
  <si>
    <t>Lampara cerrada super puesta de  24 watios  led o colgantes de 18Wcon garantia de 5 años. incluye instalacion</t>
  </si>
  <si>
    <t>Lampara Led ILUMINACION SOLAR 40W 3948LM IP66 IK O8 AUTONOMA MARCA 5G con su respectivo POSTE DE 5 METROS 2 1/2 CON BRAZO SENCILLO 0,5 CM PINTURA ELECTROSTATICA ENRIQUECIDA EN ZING PARA ALTA SALINIDAD CON CANASTILLA DE ANCLAJE incluye instalacion</t>
  </si>
  <si>
    <t>Lampara Led ILUMINACION CONVENCIONAL LUMINARIA  ORA GL02 SS 525 3K 2A 3000K MARCA 5G con su respectivo BRAZO SENCILLO PARA MURO 50CM PINTURA ELECTROSTATICA ENRIQUECIDA EN ZING PARA ALTA SALINIDAD incluye instalacion</t>
  </si>
  <si>
    <t>Reflector led 100w 220volt 12000 lumenes de 5 años de garantia incluye instalacion</t>
  </si>
  <si>
    <t>Luminaria de Emergencia 20W con Cargador y Bateria incluye instalacion</t>
  </si>
  <si>
    <t>BOLARDOS DE 35CM PHB90 360 G L01 350K 3000K MARCA 5G CON 5 AÑOS DE GARANTIA incluye instalacion</t>
  </si>
  <si>
    <t>Acometidas para lamparas en mastiles 1, 2, 3, 4 , 5 y 6 de cancha de Softbol en tuberia PVC 1-1/2" cable 3x#2 awg thhn + 1T 1/0  incluye tendido</t>
  </si>
  <si>
    <t>Acometidas para lamparas en mastiles 1, 2, 3 y 4 de cancha de futbol 11 Y tablero de control  en tuberia PVC 1-1/2" cable 3x#2 awg thhn + 1T 1/0  incluye tendido</t>
  </si>
  <si>
    <t>Acometidas para lamparas en mastiles 1, 2,3 y 4 de zona de Skate Park en tuberia PVC cable 3x#8 awg thhn + 1T 1/0  incluye tendido</t>
  </si>
  <si>
    <t>Breakers de 1x15 incluye instalacion</t>
  </si>
  <si>
    <t>Registro de baja tension tipo CS 274 60x60cm completo</t>
  </si>
  <si>
    <t>Acometidas para  Bomba de sistema hidraulico en  cable 3Fx#4+1T#1/0 awg thhn  incluye tendido</t>
  </si>
  <si>
    <t>Acometidas para  tableros TBS1 ,TBS7,TBS8,TBS9,TBS10 y TBS11  en  cable 3Fx#12+1N#12+1T#12 awg thhn  incluye tendido</t>
  </si>
  <si>
    <t>Acometidas para  tableros TBS3 ,TBS y TBS6 en  cable 3Fx#10+1N#10+1T#10 awg thhn y tuberia 3/4" incluye tendido</t>
  </si>
  <si>
    <t>Acometidas para  tableros TBS2  cable 3Fx#2+1N#2+1T#1/0 awg thhn y tuberia 2" incluye tendido</t>
  </si>
  <si>
    <t>Acometidas para  tableros TBS4  cable 3Fx#8+1N#8+1T#8 awg thhn y tuberia 1-1/2" incluye tendido</t>
  </si>
  <si>
    <t>Mastiles desde 18 hasta 20mts  metalicos, con canastilla para maximo 16 reflectores, con linea de vida y pasos para escalar, deben de ser embonados y con suficiente resistencia para los vientos de 130 KM/h, galvanizado en caliente con espesor de recubrimiento de acuerdo a lo estipulado en la norma NTC2076 y al alto impacto a la salinidad. Espesor mínimo 75 micras. incluye trasnsporte, descargue, armado, izado e instalacion</t>
  </si>
  <si>
    <t>Mastiles hasta 23mts  metalicos, con canastilla para maximo 16 reflectores, con linea de vida y pasos para escalar, deben de ser embonados y con suficiente resistencia para los vientos de 130 KM/h, galvanizado en caliente con espesor de recubrimiento de acuerdo a lo estipulado en la norma NTC2076 y al alto impacto a la salinidad. Espesor mínimo 75 micras. incluye trasnsporte, descargue, armado, izado e instalacion</t>
  </si>
  <si>
    <t xml:space="preserve">Base de concreto para mástiles de hasta 23 mt de altura Velocidad del viento 130 km/h   </t>
  </si>
  <si>
    <t>CAJA DE ABONADO 6 circuitos trifásicos  incluye instalación</t>
  </si>
  <si>
    <t>Cable equipotencial de apantallamiento en cable de cobre #1/0 enterrado al suelo y conectado a electrodos</t>
  </si>
  <si>
    <t>Cableado Superior del mástiles para conexión de luminarias en cable multifilar Encauchetados de  3x#12</t>
  </si>
  <si>
    <t>Pararrayos Tipo Franklin 5 Puntas F.r incluye izado, ensamble e instalación</t>
  </si>
  <si>
    <t>Luminarias Proyector  Led de 500W  75000 lúmenes IP 65 eficacia de 150lm/W incluye izado e instalación. GARANTIA DE 5 AÑOS. PROTECCION A AMBIENTES DE SALINIDAD</t>
  </si>
  <si>
    <t>Luminarias Proyector  Led de 300W  42000 lúmenes IP 65 eficacia de 140lm/W incluye izado e instalación. GARANTIA DE 5 AÑOS. PROTECCION A AMBIENTES DE SALINIDAD</t>
  </si>
  <si>
    <t>Elementos de sujeción de Reflectores, incluye tornillos arandelas etc incluye instalación</t>
  </si>
  <si>
    <t xml:space="preserve">Placas de identificación y marquillados </t>
  </si>
  <si>
    <t>Orientación de los reflectores según diseño en el plano desde mástiles hacia campo de Futbol</t>
  </si>
  <si>
    <t>Tablero de 6 Ctos Trifásicos para circuitos internos certificado incluye instalación</t>
  </si>
  <si>
    <t>Interruptor  breaker 1x20Amp incluye instalación</t>
  </si>
  <si>
    <t>GENERADOR DE 150KVA 220/127v con cabina insonorizada  incluye transporte, descargue, izado, instalación y puesta en marcha</t>
  </si>
  <si>
    <t>Acometida para conexión de planta eléctrica de 150 KVA a transferencia-planta eléctrica  y tablero principal (cable cobre No 3F2#4/0+1N2#4/0+1T#1/0 THNN 90°)  incluye tendido</t>
  </si>
  <si>
    <t>Placas de identificación y marquillados incluye instalación</t>
  </si>
  <si>
    <t>Adecuación y montaje de exosto desfogue de planta de  150KVA en tubería de 3"</t>
  </si>
  <si>
    <t>Acometida para conexión de tablero de control de bomba contraincendios desde   transformador -transferencia-planta eléctrica y transferencia-tablero principal contraincendios (cable cobre No 3F#4+1N#4+1T#1/0 THNN 90°)  incluye tendido</t>
  </si>
  <si>
    <t>TRANSFERENCIA AUTOMÁTICA DE 450Amp certificada para planta de Emergencia de 150KVA  incluye transporte, descargue, izado, instalación y puesta en marcha</t>
  </si>
  <si>
    <t>TRANSFERENCIA AUTOMÁTICA DE 150Amp certificada para TABLERO DE BOMBA CONTRAINCENDIOS DESDE planta de Emergencia de 100 KW  incluye transporte, descargue, izado, instalación y puesta en marcha</t>
  </si>
  <si>
    <t>Transformador Trifásico 13200/220/127 Vac  150KVA  tipo PAD MOUTED con accesorios de conexión   incluye transporte, descargue, izado, instalación y energización</t>
  </si>
  <si>
    <t>Acometida principal desde  poste existente hasta punto de conexión de transformador  en cable de XLPE CU #2</t>
  </si>
  <si>
    <t>Sistema de puesta a tierra de la subestación  eléctrica e interconexión a apantallamiento según diseño</t>
  </si>
  <si>
    <t xml:space="preserve">Estructura de MT tipo horizontal trifásico Alineación y ángulo menor a 5° a 13,2 KV (MT 332)  con retenida </t>
  </si>
  <si>
    <t>Sistema de Medida Indirecta completa en poste  con  medidor clase 0.5 incluye instalación</t>
  </si>
  <si>
    <t>TABLERO de Potencia Central de baja tensión tipo armario Certificado incluye instalación</t>
  </si>
  <si>
    <t>TABLERO control de luces cancha de futbol 11 periféricas  incluye instalación</t>
  </si>
  <si>
    <t>TABLERO control de luces cancha de softbol periféricas incluye instalación</t>
  </si>
  <si>
    <t>TABLERO control de luces de área de Skate park y sendero ecológico  incluye instalación</t>
  </si>
  <si>
    <t>Tubo de 3" X 3M Galv con curva pvc de 3" incluye Tubo de 1-1/2" X 3M Galv con curva pvc de 1-1/2" incluye instalacion</t>
  </si>
  <si>
    <t>Capacete de 3" y  1-1/2"incluye instalacion</t>
  </si>
  <si>
    <t>Zanja para acometidas principales de todo el proyecto</t>
  </si>
  <si>
    <t>Registro tipo CS 274 de baja tension al pie del poste 1000x1000</t>
  </si>
  <si>
    <t>Gestiones ante Afinia Diseño para aprobacion de mantenimiento y montaje del proyecto final, incluye ubicación de medidor en poste, y pruebas de funcionamiento</t>
  </si>
  <si>
    <t>Certificacion Retilap de todo el  proyecto</t>
  </si>
  <si>
    <t xml:space="preserve">Certificaciones RETIE de Transformacion, distribucion y uso final para proyectos </t>
  </si>
  <si>
    <t>13,0 AIRES ACONDICIONADOS</t>
  </si>
  <si>
    <t>Salidas para minisplits split de 18.000 btuh (Incluye suministro e instalación).</t>
  </si>
  <si>
    <t>UN</t>
  </si>
  <si>
    <t>Instalación tubería aire acondicionado para mini split de 18.000 btuh (1 TRH) SEER 13 con F.C. de lujo y condensadora horizontal para 220V/1F/60Hz para R410a. INCLUYE EQUIPO</t>
  </si>
  <si>
    <t>14,0 SUMINISTROS E INSTALACIONES DE ELEMENTOS PARA EL CAMPO DE JUEGO Y GRADERIA</t>
  </si>
  <si>
    <t>PORTERIA DE FUTBOL EN HIERRO NEGRO; Portería de futbol, elaborados en Tubería galvanizada, de diámetro Interior De 3 Pulgadas de 2.0 mm, El Resto De La Estructura De 2 1/2 Pulgadas de 2.5 mm espesor según los planos de diseño. (Incluye acabado en esmalte acrílico e instalación de rodachinas de 4" con frenos)</t>
  </si>
  <si>
    <t>Suministro e Instalación de silletería para graderías.</t>
  </si>
  <si>
    <t>PINTURA DE PLACA; Pintura acrílica para placa deportiva. Incluye: sello de juntas en poliuretano, preparación de superficie, pintura epóxica base solvente y pintura para canchas deportivas dos manos. (Incluye suministro e instalación).</t>
  </si>
  <si>
    <t>Juego de estructuras deportivas múltiples. (Micro - Baloncesto) Fija y juego de postes para voleibol fijos, elaborados en Tubería galvanizada, de diámetro Interior De 3 Pulgadas de 2.0 mm, El Resto De La Estructura De 2 Pulgadas del mismo espesor según los planos de diseño, Tableros para baloncesto en acrílico De 10 mm, color Cristal de medidas 1.20 X 1.80 m, debidamente demarcados con Aros Y Malla De Baloncesto. (mallas de 100% Nylon de porterías, malla de voleibol y canasta de baloncesto incluidas). (Incluye pintura tres manos con epoxi poliamida de primera calidad) ,(Incluye suministro e instalación).</t>
  </si>
  <si>
    <t>DEMARCACIÓN FRANJAS: Demarcación Franjas de líneas de Juego de Micro Futbol, Basckett, Voleibol, con un espesor de e= 0,08 mts a 0,1 mts, con dos manos, con pintura de placa dos manos, (Incluye suministro e instalación).</t>
  </si>
  <si>
    <t xml:space="preserve">Suministro de Instalación de bases de Softbol de 18"x2.5" </t>
  </si>
  <si>
    <t>glb</t>
  </si>
  <si>
    <t>15,0 URBANISMO</t>
  </si>
  <si>
    <t>EXCAVACIONES :Excavación manual, (Incluye cargue, transporte y disposición final).</t>
  </si>
  <si>
    <t>EXCAVACIONES MECANICAS VARIAS EN MATERIAL COMUN SECO (Incluye cargue, transporte y disposición final)</t>
  </si>
  <si>
    <t>Relleno de Subbase Granular clase C (incluye suministro, extendido, nivelación, humedecimiento y compactación con vibrocompactador)</t>
  </si>
  <si>
    <t>Losas en concreto Mr 42 Mpa psi para parqueaderos , (Incluye suministro y colocación de concreto).</t>
  </si>
  <si>
    <t>Sardinel H=0.3, E=0.15 en concreto 3000 psi (incluye suministro, acero de refuerzo, formaleta y construcción).</t>
  </si>
  <si>
    <t>Piso en loseta prefabricadas A60 (400x200x60mm) o similar (incluye, Suministro e instalación y 4 cm de arena de nivelación y arena de sello).</t>
  </si>
  <si>
    <t>Suministro e instalación de Gramoquin - Ecológico.</t>
  </si>
  <si>
    <t>Zonas Verdes (Incluye suministro de grama natural y tierra negra).</t>
  </si>
  <si>
    <t>Siembra de durantas o similar, (incluye tierra negra y cascarilla siembre).</t>
  </si>
  <si>
    <t>Suministro y siembra de arboles  3m de altura Pomarrosa o similar (incluye suministro de tierra negra)</t>
  </si>
  <si>
    <t xml:space="preserve">Suministro e instalación de Tope llantas para parqueadero. </t>
  </si>
  <si>
    <t>Demarcación con pintura tipo trafico E= 12 cm (Incluye suministro y aplicación).</t>
  </si>
  <si>
    <t xml:space="preserve">Demarcación pictogramas con pintura tipo trafico, (Incluye suministro y aplicación). </t>
  </si>
  <si>
    <t xml:space="preserve">Banca Dobbelt módulo a marca konkretus, (Incluye suministro e instalación). </t>
  </si>
  <si>
    <t xml:space="preserve">Banca Dobbelt módulo a con espaldar marca konkretus (Incluye suministro e instalación). </t>
  </si>
  <si>
    <t xml:space="preserve">Banca Mc marca Konkretus,(Incluye suministro e instalación). </t>
  </si>
  <si>
    <t xml:space="preserve">Banca Samle con  konkretus, (Incluye suministro e instalación). </t>
  </si>
  <si>
    <t xml:space="preserve">Caneca tipo m120 en malla metálica inoxidable, (Incluye suministro e instalación). </t>
  </si>
  <si>
    <t>Suministro e instalación de sonorización de espacios (incluyes: Altavoz de Bocina, Amp. Behringer, Procesador de Audio DBX, Microfonía Inalámbrica Shure, y cables de conexiones)..</t>
  </si>
  <si>
    <t>16,0 LOGOS INSTITUCIONALES</t>
  </si>
  <si>
    <t>Suministro e instalación de  señalización en acrílico de cristal de 30 cm x 15 cm y 5mm de espesor (incluye dilatadores de soporte en aluminio).</t>
  </si>
  <si>
    <t>Suministro e instalación de letras en acrílico de cristal del nombre del estadio de color y dimensiones de acuerdo a diseño (incluye instalación).</t>
  </si>
  <si>
    <t>PLAN MANEJO AMIENTAL (P.M.A.)</t>
  </si>
  <si>
    <t>PLAN INTEGRAL GESTIÓN DE OBRA (P.G.I.O)</t>
  </si>
  <si>
    <t>PLAN MANEJO DE TRÁNSITO (P.M.T)</t>
  </si>
  <si>
    <t>Demolición de concreto ciclópeo (Incluye retiro al botadero autorizado)</t>
  </si>
  <si>
    <t>Acero de refuerzo Tanque de almacenamiento y Box culvter Tipo 1 y Tipo 2 (incluye suministro, figurado y fijación)</t>
  </si>
  <si>
    <t>M3</t>
  </si>
  <si>
    <t>CONCRETO PARA BOXCULVERT 4000 PSI., (Incluye suministro, formaletería e instalación).</t>
  </si>
  <si>
    <t>Material de mejoramiento según estudio de suelo e=0.30 m, compactado al 95% del próctor estándar y conformación de la superficie de drenaje con pendientes de 0,5% en dirección a filtros. (Incluye suministro e instalación).</t>
  </si>
  <si>
    <t>Muro en tubería galvanizada de 3"  e: 2.5 mm  h=2.5 m separado cada 15 cm y empotrado 50cm, incluye pintura epoxica poliamida tipo 1.</t>
  </si>
  <si>
    <t>Suministro e instalación tubería PVC-sanitaria de 2"</t>
  </si>
  <si>
    <t>Suministro e instalación tubería PVC-sanitaria de 4"</t>
  </si>
  <si>
    <t>Suministro e instalación tubería PVC-sanitaria de 6"</t>
  </si>
  <si>
    <t>Suministro e instalación tubería de ventilación PVC-s de 2"</t>
  </si>
  <si>
    <t>Suministro e instalación codo sanitario PVC-s 45° de 2"</t>
  </si>
  <si>
    <t>Suministro e instalación codo sanitario PVC-s 90° de 2"</t>
  </si>
  <si>
    <t>Suministro e instalación codo sanitario PVC-s 45° de 4"</t>
  </si>
  <si>
    <t>Suministro e instalación codo sanitario PVC-s 90° de 4"</t>
  </si>
  <si>
    <t>Suministro e instalación reducción sanitario PVC-s de 4"-2"</t>
  </si>
  <si>
    <t>Suministro e instalación sifón sanitario  PVC-s de 2"</t>
  </si>
  <si>
    <t>Suministro e instalación tapón sanitario  PVC-s de 2"</t>
  </si>
  <si>
    <t>Suministro e instalación tapón sanitario  PVC-s de 4"</t>
  </si>
  <si>
    <t>Suministro e instalación Yee sanitario PVC-s de 2"</t>
  </si>
  <si>
    <t>Suministro e instalación Yee sanitario PVC-s de 4"-2"</t>
  </si>
  <si>
    <t>Suministro e instalación Yee sanitario PVC-s de 4"</t>
  </si>
  <si>
    <t>Suministro e instalación unión sanitario PVC-s de 4"</t>
  </si>
  <si>
    <t>Suministro e instalación tubería hidráulica PVC-p de 3/4"</t>
  </si>
  <si>
    <t>Suministro e instalación tubería hidráulica PVC-p de 1"</t>
  </si>
  <si>
    <t>Suministro e instalación tubería hidráulica PVC-p de 1 1/4"</t>
  </si>
  <si>
    <t>Suministro e instalación tubería hidráulica PVC-p de 1 1/2"</t>
  </si>
  <si>
    <t>Suministro e instalación tubería hidráulica PVC-p de 2"</t>
  </si>
  <si>
    <t>Suministro e instalación tubería hidráulica PVC-p de 2 1/2"</t>
  </si>
  <si>
    <t>Suministro e instalación tubería hidráulica PVC-p de 3"</t>
  </si>
  <si>
    <t>Suministro e instalación de codo PVC-p 90° de 3/4"</t>
  </si>
  <si>
    <t>Suministro e instalación de Tee PVC-p de 3/4"</t>
  </si>
  <si>
    <t>Suministro e instalación Tee de PVC-p de 1 1/2"</t>
  </si>
  <si>
    <t>Suministro e instalación codo PVC-p de 90° de 1 1/2"</t>
  </si>
  <si>
    <t>Suministro e instalación Tee PVC-p de 1"</t>
  </si>
  <si>
    <t>Suministro e instalación codo PVC-p de 90° de 1 "</t>
  </si>
  <si>
    <t>Suministro e instalación Tee PVC-p de de 2"</t>
  </si>
  <si>
    <t>Suministro e instalación Tee pvc-p de 1 1/4"</t>
  </si>
  <si>
    <t>Suministro e instalación codo pvc-p de 90° de 1 1/4"</t>
  </si>
  <si>
    <t>Suministro e instalación reducción pvc-p de 1 1/4" -1"</t>
  </si>
  <si>
    <t>Suministro e instalación reducción pvc-p de 2" - 3/4"</t>
  </si>
  <si>
    <t>Suministro e instalación de punto hidráulico de 1"</t>
  </si>
  <si>
    <t>Suministro e instalación de punto hidráulico de 1 1/4"</t>
  </si>
  <si>
    <t>Pintura en Vinilo tipo 1, dos manos (Altura menor a 2 m, incluye suministro)</t>
  </si>
  <si>
    <t>Divisiones de Baños en láminas de acero Galvanizada Cal-20 y soportes 2"x4" y espesor de 3 mm operación satinado externo #4 y con herrajes en acero inoxidable, (Incluye suministro e instalación)</t>
  </si>
  <si>
    <t>Suministro puertas acceso baños metálica cal-20, Cald Rol o similar, de 0.85,0mts X 2,10, incluye marco metálico de 2"x4", anclajes y herrajes, (Incluye suministro e instalación).</t>
  </si>
  <si>
    <t>Lampara cerrada super puesta de  24 watios  led con garantia de 5 años. incluye instalacion</t>
  </si>
  <si>
    <t>Lampara Led ILUMINACION SOLAR 40W 3948LM IP66 IK O8 AUTONOMA MARCA 5G con su respectivo BRAZO SENCILLO PARA MURO 50CM PINTURA ELECTROSTATICA ENRIQUECIDA EN ZING PARA ALTA SALINIDAD incluye instalacion</t>
  </si>
  <si>
    <t>BALAS DE PISO STALEY STEEL IP66 IK 08 12.7W 64LM ALTA RESISTENCIA MARCA 5G incluye instalacion</t>
  </si>
  <si>
    <t xml:space="preserve"> Acometidas para lamparas en mastiles 1, 2, 3 y 4 de cancha de futbol 9 en tuberia PVC 1-1/2" cable 3x#8 awg thhn + 1T 1/0  incluye tendido</t>
  </si>
  <si>
    <t xml:space="preserve"> Acometidas para lamparas en mastiles 1 y 2 de cancha de futbol 11 Y tablero de control en tuberia PVC de 2"  cable 3x65 mm+50 mm (3x2 + 1x1/0)  incluye tendido</t>
  </si>
  <si>
    <t xml:space="preserve"> Acometidas para lamparas en mastiles 3 y 4 de cancha de futbol 11 en tuberia PVC de 3"  cable 3x1/0 + 1x1/0)  incluye tendido</t>
  </si>
  <si>
    <t xml:space="preserve"> Acometidas para  Bomba de sistema hidraulico en  cable 3Fx#4+1T#1/0 awg thhn  incluye tendido</t>
  </si>
  <si>
    <t>Acometidas para  tableros TBS1 ,TBS2,TBS5,TBS6,TBS8  en  cable 3Fx#12+1N#12+1T#12 awg thhn  incluye tendido</t>
  </si>
  <si>
    <t xml:space="preserve"> Acometidas para  tableros TBS3 ,TBS4 en  cable 3Fx#10+1N#10+1T#10 awg thhn y tuberia 3/4" incluye tendido</t>
  </si>
  <si>
    <t xml:space="preserve"> Acometidas para  tableros TBS7 y tablero control de cancha futbol 9 en  cable 3Fx#6+1N#6+1T#6 awg thhn y tuberia 3/4" incluye tendido</t>
  </si>
  <si>
    <t xml:space="preserve">Base de concreto para mastiles de hasta 20 mt de altura Velocidad del viento 130 km/h   </t>
  </si>
  <si>
    <t>CAJA DE ABONADO 6 circuitos trifásicos  incluye instalacion</t>
  </si>
  <si>
    <t>Cableado Superior del mastiles para conexión de luminarias en cable multifilar Encauchetados de  3x#12</t>
  </si>
  <si>
    <t>Pararrayos Tipo Franklin 5 Puntas F.r incluye izado, emsable e instalacion</t>
  </si>
  <si>
    <t>Luminarias Proyector  Led de 500W  75000 lumenes IP 65 eficacia de 150lm/W incluye izado e instalacion. GARANTIA DE 5 AÑOS. PROTECCION A AMBIENTES DE SALINIDAD</t>
  </si>
  <si>
    <t>Luminarias Proyector  Led de 300W  42000 lumenes IP 65 eficacia de 140lm/W incluye izado e instalacion. GARANTIA DE 5 AÑOS. PROTECCION A AMBIENTES DE SALINIDAD</t>
  </si>
  <si>
    <t>Elementos de sugecion de Rerflectores, incluye tornillos arandelas etc incluye instalacion</t>
  </si>
  <si>
    <t xml:space="preserve">Placas de identificacion y marquillados </t>
  </si>
  <si>
    <t>Orientacion de los reflectores según diseño en el plano desde mastiles hacia campo de Futbol</t>
  </si>
  <si>
    <t>Tablero de 6 Ctos Trifasicos para circuitos internos certificado incluye instalacion</t>
  </si>
  <si>
    <t>Interruptor  breaker 1x20Amp incluye instalacion</t>
  </si>
  <si>
    <t>GENERADOR DE 100KW 220/127v con cabina insonorizada  incluye trasnsporte, descargue, izado, instalacion y puesta en marcha</t>
  </si>
  <si>
    <t>Acometida para conexión de planta electrica de 100 KW a tranferencia-planta electrica  y tablero principal (cable cobre No 3F2#2/0+1N2#2/0+1T#1/0 THNN 90°)  incluye tendido</t>
  </si>
  <si>
    <t>Placas de identificacion y marquillados incluye instalacion</t>
  </si>
  <si>
    <t>Adecuacion y montaje de exosto desfogue de planta de 100KW en tuberia de 3"</t>
  </si>
  <si>
    <t>Acometida para conexión de tablero de control de bomba contraincendios desde   transformador -tranferencia-planta electrica y tranbsfernecia-tablero principal contraincendios (cable cobre No 3F#4+1N#4+1T#1/0 THNN 90°)  incluye tendido</t>
  </si>
  <si>
    <t>TRANSFERENCIA AUTOMÁTICA DE 350Amp certificada para planta de Emergencia de 100KW  incluye trasnsporte, descargue, izado, instalacion y puesta en marcha</t>
  </si>
  <si>
    <t>TRANSFERENCIA AUTOMÁTICA DE 150Amp certificada para TABLERO DE BOMBA CONTRAINCENDIOS DESDE planta de Emergencia de 100 KW  incluye trasnsporte, descargue, izado, instalacion y puesta en marcha</t>
  </si>
  <si>
    <t>Transformador Trifasico 13200/220/127 Vac 112.5KVA  tipo poste con accesorios de conexión   incluye trasnsporte, descargue, izado, instalacion y energizacion</t>
  </si>
  <si>
    <t>Acometida principal desde  poste existente hasta punto de conexión de transformador  en cable de  #1/0 AL ASCR</t>
  </si>
  <si>
    <t>Sistema de puesta a tierra de la subestacion  electrica e interconexion a apantallamiento según diseño</t>
  </si>
  <si>
    <t>Sistema de Medida Semidirecta completa en poste  con  medidor clase 0.5 incluye instalacion</t>
  </si>
  <si>
    <t>TABLERO de Potencia Central de baja tension tipo armario Certificado incluye instalacion</t>
  </si>
  <si>
    <t>TABLERO control de luces cancha de futbol 11 perifericas y mastiles incluye instalacion</t>
  </si>
  <si>
    <t>TABLERO control de luces cancha de futbol 9 perifericas y mastiles incluye instalacion</t>
  </si>
  <si>
    <t xml:space="preserve">Poste de 14m 1050 kg f en  punto de  llegada  de transformador de 112.5 KVA  incluye montaje de estructura en alineacion incluye trasnsporte, descargue, cimentacion, izado e instalacion </t>
  </si>
  <si>
    <t>Zanja para acometida principal hasta la subestacion principal</t>
  </si>
  <si>
    <t>Gestiones ante electricaribe Diseño para aprobacion de mantenimiento y montaje del proyecto final, incluye ubicación de medidor en poste, y pruebas de funcionamiento</t>
  </si>
  <si>
    <t>Sendero en concreto color e=0.10 m 3000 psi (Incluye  mezcla, formaleta, fundida y curado)</t>
  </si>
  <si>
    <t>Suministro e instalacion de juegos didacticos en madera  ( incluyen columpios de madera de 3 canastas,un trompo metalico, sube y baja doble en madera,  1 parque infantil de madera conformado por  2 resbaladeros de fibra de vidrio, 1 puente colgante, 1 barra para colgarse, 1 barra de pasamanos, 1 columpio de 3 canastas y 3 modulos miradores con techo)-incl. colocacion</t>
  </si>
  <si>
    <t>VALOR TOTAL CANCHAS DE FUTBOL 11, SOFTBOL Y BALONCESTO</t>
  </si>
  <si>
    <t xml:space="preserve">  CANCHAS DE LIGAS MENORES</t>
  </si>
  <si>
    <t>VALOR TOTAL CANCHAS DE LIGAS MENORES</t>
  </si>
  <si>
    <t xml:space="preserve">VALOR TOTAL «CONSTRUCCIÓN DEL COMPLEJO DEPORTIVO NUEVO CHAMBACÚ» </t>
  </si>
  <si>
    <t xml:space="preserve">                                      COMPLEJO DEPORTIVO NUEVO CHAMBACÚ 
                               (CANCHAS LIGAS MENORES)</t>
  </si>
  <si>
    <t>CÓDIGO</t>
  </si>
  <si>
    <t>VERSIÓN</t>
  </si>
  <si>
    <t>2024-1</t>
  </si>
  <si>
    <t>PÁGINA</t>
  </si>
  <si>
    <t>MEMORIAS DE REVISIÓN CANTIDADES DE OBRA</t>
  </si>
  <si>
    <t>CAPITULO</t>
  </si>
  <si>
    <t>ITEM:</t>
  </si>
  <si>
    <t>Unidad:</t>
  </si>
  <si>
    <t>Cantidad:</t>
  </si>
  <si>
    <t>Ubicación/lugar/elemento</t>
  </si>
  <si>
    <t>Área (m2)</t>
  </si>
  <si>
    <t>Ancho (m)</t>
  </si>
  <si>
    <t>Alto (m)</t>
  </si>
  <si>
    <t>Longitud (m)</t>
  </si>
  <si>
    <t>Peso (kg)</t>
  </si>
  <si>
    <t>Porcentaje maximo</t>
  </si>
  <si>
    <t>Elementos</t>
  </si>
  <si>
    <t>Unidad</t>
  </si>
  <si>
    <t>V. PARCIAL</t>
  </si>
  <si>
    <t>Total</t>
  </si>
  <si>
    <t>C</t>
  </si>
  <si>
    <t>ESQUEMA:</t>
  </si>
  <si>
    <t>ZONA 1</t>
  </si>
  <si>
    <t>PLANTILLA</t>
  </si>
  <si>
    <t>ARBOLES</t>
  </si>
  <si>
    <t>TAPA CANAL</t>
  </si>
  <si>
    <t>MURO LATERAL CANAL</t>
  </si>
  <si>
    <t>FONDO DE CANAL</t>
  </si>
  <si>
    <t>CANAL EXISTENTE</t>
  </si>
  <si>
    <t>MALLA</t>
  </si>
  <si>
    <t>Ø3/8"</t>
  </si>
  <si>
    <t>Ø1/2"</t>
  </si>
  <si>
    <t>Ø5/8"</t>
  </si>
  <si>
    <t>Ø3/4"</t>
  </si>
  <si>
    <t>Ø1"</t>
  </si>
  <si>
    <t>COLUMNAS</t>
  </si>
  <si>
    <t xml:space="preserve"> </t>
  </si>
  <si>
    <t>LOSA  DE 2DO NIVEL - GRADERIA</t>
  </si>
  <si>
    <t>VT-252</t>
  </si>
  <si>
    <t>VT-253</t>
  </si>
  <si>
    <t>4mm@0,15</t>
  </si>
  <si>
    <t>CONTRAPISO  5mm@0,15</t>
  </si>
  <si>
    <t>ZAPATAS</t>
  </si>
  <si>
    <t>VIGA DE AMARRE</t>
  </si>
  <si>
    <t>LOSA</t>
  </si>
  <si>
    <t>ACCESO 1</t>
  </si>
  <si>
    <t xml:space="preserve">ZAPATAS </t>
  </si>
  <si>
    <t>Z11</t>
  </si>
  <si>
    <t>Z12</t>
  </si>
  <si>
    <t>Ø7/8"</t>
  </si>
  <si>
    <t>C9</t>
  </si>
  <si>
    <t>C10</t>
  </si>
  <si>
    <t>C11</t>
  </si>
  <si>
    <t>C12</t>
  </si>
  <si>
    <t>VCIM-132</t>
  </si>
  <si>
    <t>VCIM-133</t>
  </si>
  <si>
    <t>VCIM-134</t>
  </si>
  <si>
    <t>VCIM-135</t>
  </si>
  <si>
    <t>VIGA-224</t>
  </si>
  <si>
    <t>VIGA-225</t>
  </si>
  <si>
    <t>VIGA-226</t>
  </si>
  <si>
    <t>LOSA  DE 3ER NIVEL - GRADERIA</t>
  </si>
  <si>
    <t>Ø1/4"</t>
  </si>
  <si>
    <t>VIGA-302</t>
  </si>
  <si>
    <t>VIGA-303</t>
  </si>
  <si>
    <t>VT-351</t>
  </si>
  <si>
    <t>LOSA MACIZA</t>
  </si>
  <si>
    <t xml:space="preserve">MURO DE CARRAMIENTO INTERIOR </t>
  </si>
  <si>
    <t>CANCHA OCCIDENTAL</t>
  </si>
  <si>
    <t>CANCHA ORIENTAL</t>
  </si>
  <si>
    <t xml:space="preserve">MURO DE CARRAMIENTO EXTERIOR </t>
  </si>
  <si>
    <t>ACCESO 2</t>
  </si>
  <si>
    <t>Z13</t>
  </si>
  <si>
    <t>Z14</t>
  </si>
  <si>
    <t>C13</t>
  </si>
  <si>
    <t>C14</t>
  </si>
  <si>
    <t>C15</t>
  </si>
  <si>
    <t>VCIM-136</t>
  </si>
  <si>
    <t>VCIM-137</t>
  </si>
  <si>
    <t>VCIM-138</t>
  </si>
  <si>
    <t>VCIM-139</t>
  </si>
  <si>
    <t>VIGA-227</t>
  </si>
  <si>
    <t>VIGA-228</t>
  </si>
  <si>
    <t>VIGA-304</t>
  </si>
  <si>
    <t>VIGA-305</t>
  </si>
  <si>
    <t>VT-352</t>
  </si>
  <si>
    <t>GRADA OCCIDENTAL</t>
  </si>
  <si>
    <t>GRADA ORIENTAL</t>
  </si>
  <si>
    <t>TANQUE DE ALMACENAMIENTO</t>
  </si>
  <si>
    <t>HORIZONTAL PAREDES</t>
  </si>
  <si>
    <t>FONDO</t>
  </si>
  <si>
    <t>VERTICAL PAREDES</t>
  </si>
  <si>
    <t>TAPA</t>
  </si>
  <si>
    <t>BOX CULVERT TPO 2</t>
  </si>
  <si>
    <t>BOX CULVERT TPO 1 PERIMETRAL</t>
  </si>
  <si>
    <t>VCIM 132</t>
  </si>
  <si>
    <t>VCIM 134</t>
  </si>
  <si>
    <t>VCIM 135</t>
  </si>
  <si>
    <t>VCIM 133</t>
  </si>
  <si>
    <t>VCIM 136</t>
  </si>
  <si>
    <t>VCIM 138</t>
  </si>
  <si>
    <t>VCIM 139</t>
  </si>
  <si>
    <t>VCIM 137</t>
  </si>
  <si>
    <t>BOX CULVERT TIPO 1</t>
  </si>
  <si>
    <t>BOX CULVERT TIPO 2</t>
  </si>
  <si>
    <t>BOX CULVERT TIPO 1 PERIMETRAL</t>
  </si>
  <si>
    <t>MURO DE CARRAMIENTO EXTERIOR</t>
  </si>
  <si>
    <t>MURO DE CARRAMIENTO INTERIOR</t>
  </si>
  <si>
    <t>VIGA</t>
  </si>
  <si>
    <t>VIGA - 224</t>
  </si>
  <si>
    <t>VIGA - 225</t>
  </si>
  <si>
    <t>VIGA - 252</t>
  </si>
  <si>
    <t>VIGA - 302</t>
  </si>
  <si>
    <t>VIGA - 303</t>
  </si>
  <si>
    <t>VIGA - 227</t>
  </si>
  <si>
    <t>VIGA - 228</t>
  </si>
  <si>
    <t>VIGA - 253</t>
  </si>
  <si>
    <t>VIGA - 304</t>
  </si>
  <si>
    <t>VIGA - 305</t>
  </si>
  <si>
    <t>AREA1</t>
  </si>
  <si>
    <t>AREA2</t>
  </si>
  <si>
    <t>ENTRADA 1</t>
  </si>
  <si>
    <t>PLACA SEGUNDO NIVEL</t>
  </si>
  <si>
    <t>ENRADA 2</t>
  </si>
  <si>
    <t>BODEGA, BOMBA, BASURA</t>
  </si>
  <si>
    <t>PLACA TERCER NIVEL</t>
  </si>
  <si>
    <t>3.11</t>
  </si>
  <si>
    <t>TUBO 8"</t>
  </si>
  <si>
    <t>TUBO 6"</t>
  </si>
  <si>
    <t>TUBO 14"</t>
  </si>
  <si>
    <t>FACHADA ACCESO 1</t>
  </si>
  <si>
    <t>PERIMETRO</t>
  </si>
  <si>
    <t>FACHADA ACCESO 2</t>
  </si>
  <si>
    <t>RESTA</t>
  </si>
  <si>
    <t>INTERIOR</t>
  </si>
  <si>
    <t>CUARTO ELECTRICO</t>
  </si>
  <si>
    <t>CUARTO DE BOMBA</t>
  </si>
  <si>
    <t>CUARTO DE BASURA</t>
  </si>
  <si>
    <t>PUERTAS</t>
  </si>
  <si>
    <t>VENTANA</t>
  </si>
  <si>
    <t>DOBLE</t>
  </si>
  <si>
    <t xml:space="preserve">ZONA DE COMIDA </t>
  </si>
  <si>
    <t>GARITA</t>
  </si>
  <si>
    <t>ESTACION BOMBA</t>
  </si>
  <si>
    <t>CUARTO BASURA</t>
  </si>
  <si>
    <t>AREA 1</t>
  </si>
  <si>
    <t>AREA 2</t>
  </si>
  <si>
    <t>RAMPAS</t>
  </si>
  <si>
    <t>BAÑOS MUJERES</t>
  </si>
  <si>
    <t>LAVA TRAPEROS</t>
  </si>
  <si>
    <t xml:space="preserve">B. DISCAPACITADO </t>
  </si>
  <si>
    <t>BAÑOS HOMBRES</t>
  </si>
  <si>
    <t xml:space="preserve">ACCESOS </t>
  </si>
  <si>
    <t>B. ACCESO 1</t>
  </si>
  <si>
    <t>B. ACCESO 2</t>
  </si>
  <si>
    <t xml:space="preserve">LOCALES </t>
  </si>
  <si>
    <t>BAÑO</t>
  </si>
  <si>
    <t>ESTRUCTURA</t>
  </si>
  <si>
    <t>MURO DE CARRAMIENTO PERIMERAL</t>
  </si>
  <si>
    <t>CANCHAS OCCIDENTAL</t>
  </si>
  <si>
    <t>CANCHAS ORIENTAL</t>
  </si>
  <si>
    <t>OTRO</t>
  </si>
  <si>
    <t>ACCESO</t>
  </si>
  <si>
    <t>ACCESO2</t>
  </si>
  <si>
    <t>ENTRADA</t>
  </si>
  <si>
    <t>COMIDAS</t>
  </si>
  <si>
    <t>PISOS JUEGOS DE NIÑOS</t>
  </si>
  <si>
    <t>AREA 3</t>
  </si>
  <si>
    <t>AREA 4</t>
  </si>
  <si>
    <t>AREA 5</t>
  </si>
  <si>
    <t>AREA 6</t>
  </si>
  <si>
    <t>AREA 7</t>
  </si>
  <si>
    <t>SENDERO DE PERIMETRAL</t>
  </si>
  <si>
    <t>PISOS ZONAS VERDES</t>
  </si>
  <si>
    <t>GRAMOQUIN AREA 1</t>
  </si>
  <si>
    <t xml:space="preserve">ZONAS COMUNES </t>
  </si>
  <si>
    <t>PARQUEADERO</t>
  </si>
  <si>
    <t>ZONA VERDE</t>
  </si>
  <si>
    <t>PISO GRAMOQUIN</t>
  </si>
  <si>
    <t>ACCESOS 2</t>
  </si>
  <si>
    <t>JUEGO INFANTILES</t>
  </si>
  <si>
    <t>GLOBAL DE ACUERDO PLANOS</t>
  </si>
  <si>
    <t>PARQUEADERO CARROS</t>
  </si>
  <si>
    <t>PARQUEADERO MOTOS</t>
  </si>
  <si>
    <t>PARQUEADERO DISCAPACITADO</t>
  </si>
  <si>
    <t>LOGO DISCAPACITADO</t>
  </si>
  <si>
    <t>JUEGODE NIÑOS</t>
  </si>
  <si>
    <t>BAÑOS</t>
  </si>
  <si>
    <t>DISCAPACITADO</t>
  </si>
  <si>
    <t>OTROS</t>
  </si>
  <si>
    <t>3.10</t>
  </si>
  <si>
    <t>0.5 EXC</t>
  </si>
  <si>
    <r>
      <rPr>
        <b/>
        <sz val="12"/>
        <rFont val="Swis721 LtCn BT"/>
        <family val="2"/>
      </rPr>
      <t xml:space="preserve">NOTA 1: </t>
    </r>
    <r>
      <rPr>
        <sz val="12"/>
        <rFont val="Swis721 LtCn BT"/>
        <family val="2"/>
      </rPr>
      <t xml:space="preserve"> Se debe tener en cuenta que el PRECIO UNITARIO incluye el valor de A.I.U. </t>
    </r>
  </si>
  <si>
    <r>
      <rPr>
        <b/>
        <sz val="12"/>
        <rFont val="Swis721 LtCn BT"/>
        <family val="2"/>
      </rPr>
      <t>NOTA 2:</t>
    </r>
    <r>
      <rPr>
        <sz val="12"/>
        <rFont val="Swis721 LtCn BT"/>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</si>
  <si>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Swis721 LtCn BT"/>
        <family val="2"/>
      </rPr>
      <t>NOTA 3:</t>
    </r>
    <r>
      <rPr>
        <sz val="12"/>
        <rFont val="Swis721 LtCn BT"/>
        <family val="2"/>
      </rPr>
      <t xml:space="preserve"> El A.I.U y su discriminación deben estar en porcentaje (%). </t>
    </r>
  </si>
  <si>
    <t>HOMBRE</t>
  </si>
  <si>
    <t>MUJERES</t>
  </si>
  <si>
    <t>BAÑOS HOMBRE</t>
  </si>
  <si>
    <t>BAÑOS HOMNRE</t>
  </si>
  <si>
    <t>KIOSCO</t>
  </si>
  <si>
    <t>CANCHA MULTPLE</t>
  </si>
  <si>
    <t>DOGOUT</t>
  </si>
  <si>
    <t>COLUMNASD GRDAERIA</t>
  </si>
  <si>
    <t>GRADA</t>
  </si>
  <si>
    <t>PROMEDIO</t>
  </si>
  <si>
    <t>CANCHA DE FUTBOL</t>
  </si>
  <si>
    <t>Z1</t>
  </si>
  <si>
    <t>Z2</t>
  </si>
  <si>
    <t>Z3</t>
  </si>
  <si>
    <t>C1</t>
  </si>
  <si>
    <t>C2</t>
  </si>
  <si>
    <t>C3</t>
  </si>
  <si>
    <t>VIGAS DE AMARRE</t>
  </si>
  <si>
    <t>VCIM-100</t>
  </si>
  <si>
    <t>VCIM-101</t>
  </si>
  <si>
    <t>VCIM-102</t>
  </si>
  <si>
    <t>VCIM-103</t>
  </si>
  <si>
    <t>VCIM-104</t>
  </si>
  <si>
    <t>VCIM-105</t>
  </si>
  <si>
    <t>VCIM-106</t>
  </si>
  <si>
    <t>VCIM-107</t>
  </si>
  <si>
    <t>VCIM-108</t>
  </si>
  <si>
    <t>VCIM-109</t>
  </si>
  <si>
    <t>VCIM-110</t>
  </si>
  <si>
    <t>VCIM-111</t>
  </si>
  <si>
    <t>VCIM-112</t>
  </si>
  <si>
    <t>VCIM-113</t>
  </si>
  <si>
    <t>VCIM-114</t>
  </si>
  <si>
    <t>VCIM-115</t>
  </si>
  <si>
    <t>VCIM-116</t>
  </si>
  <si>
    <t>VCIM-117</t>
  </si>
  <si>
    <t>VCIM-118</t>
  </si>
  <si>
    <t>VIGA-200</t>
  </si>
  <si>
    <t>VIGA-201</t>
  </si>
  <si>
    <t>VIGA-202</t>
  </si>
  <si>
    <t>VIGA-203</t>
  </si>
  <si>
    <t>VIGA-204</t>
  </si>
  <si>
    <t>VIGA-205</t>
  </si>
  <si>
    <t>VIGA-206</t>
  </si>
  <si>
    <t>VIGA-207</t>
  </si>
  <si>
    <t>VT-250</t>
  </si>
  <si>
    <t>VT-251</t>
  </si>
  <si>
    <t>VT-254</t>
  </si>
  <si>
    <t>VT-255</t>
  </si>
  <si>
    <t>VT-256</t>
  </si>
  <si>
    <t>VT-257</t>
  </si>
  <si>
    <t>VT-258</t>
  </si>
  <si>
    <t>VT-259</t>
  </si>
  <si>
    <t>VT-260</t>
  </si>
  <si>
    <t>VT-261</t>
  </si>
  <si>
    <t>VT-262</t>
  </si>
  <si>
    <t>VT-263</t>
  </si>
  <si>
    <t>VT-264</t>
  </si>
  <si>
    <t>VT-265</t>
  </si>
  <si>
    <t>VT-266</t>
  </si>
  <si>
    <t>VT-267</t>
  </si>
  <si>
    <t>VT-268</t>
  </si>
  <si>
    <t>VT-269</t>
  </si>
  <si>
    <t>VT-270</t>
  </si>
  <si>
    <t>LOSA MACIZA - 10cm - T</t>
  </si>
  <si>
    <t>LOSA MACIZA - 10cm - L</t>
  </si>
  <si>
    <t>LOSA MACIZA - 15cm - T</t>
  </si>
  <si>
    <t>LOSA MACIZA - 15cm - L</t>
  </si>
  <si>
    <t>5mm@0,15</t>
  </si>
  <si>
    <t>CUÑAS</t>
  </si>
  <si>
    <t>ESCALERA</t>
  </si>
  <si>
    <t>CANCHA DE SOFBOL</t>
  </si>
  <si>
    <t>Z10</t>
  </si>
  <si>
    <t>Z15</t>
  </si>
  <si>
    <t>C4</t>
  </si>
  <si>
    <t>C5</t>
  </si>
  <si>
    <t>C6</t>
  </si>
  <si>
    <t>VCIM-129</t>
  </si>
  <si>
    <t>VCIM-130</t>
  </si>
  <si>
    <t>VCIM-131</t>
  </si>
  <si>
    <t>VCIM-140</t>
  </si>
  <si>
    <t>VCIM-141</t>
  </si>
  <si>
    <t>VCIM-142</t>
  </si>
  <si>
    <t>VCIM-143</t>
  </si>
  <si>
    <t>VCIM-144</t>
  </si>
  <si>
    <t>VCIM-145</t>
  </si>
  <si>
    <t>VCIM-146</t>
  </si>
  <si>
    <t>VCIM-147</t>
  </si>
  <si>
    <t>VCIM-148</t>
  </si>
  <si>
    <t>VCIM-149</t>
  </si>
  <si>
    <t>VCIM-150</t>
  </si>
  <si>
    <t>VCIM-151</t>
  </si>
  <si>
    <t>VCIM-152</t>
  </si>
  <si>
    <t>VCIM-153</t>
  </si>
  <si>
    <t>VCIM-154</t>
  </si>
  <si>
    <t>VCIM-155</t>
  </si>
  <si>
    <t>VIGA-215</t>
  </si>
  <si>
    <t>VIGA-216</t>
  </si>
  <si>
    <t>VIGA-217</t>
  </si>
  <si>
    <t>VIGA-221</t>
  </si>
  <si>
    <t>VIGA-222</t>
  </si>
  <si>
    <t>VIGA-223</t>
  </si>
  <si>
    <t>VT-273</t>
  </si>
  <si>
    <t>VT-274</t>
  </si>
  <si>
    <t>VT-275</t>
  </si>
  <si>
    <t>VT-276</t>
  </si>
  <si>
    <t>VT-277</t>
  </si>
  <si>
    <t>VT-278</t>
  </si>
  <si>
    <t>VT-279</t>
  </si>
  <si>
    <t>VT-280</t>
  </si>
  <si>
    <t>VT-281</t>
  </si>
  <si>
    <t>VT-282</t>
  </si>
  <si>
    <t>LOSAS</t>
  </si>
  <si>
    <t>DUGOUT</t>
  </si>
  <si>
    <t>Z16</t>
  </si>
  <si>
    <t>Z17</t>
  </si>
  <si>
    <t>Z18</t>
  </si>
  <si>
    <t>VCIM-156</t>
  </si>
  <si>
    <t>VCIM-157</t>
  </si>
  <si>
    <t>VCIM-158</t>
  </si>
  <si>
    <t>PILOTE</t>
  </si>
  <si>
    <t>VIGA-229</t>
  </si>
  <si>
    <t>VIGA-230</t>
  </si>
  <si>
    <t>VIGA-231</t>
  </si>
  <si>
    <t>VIGA-232</t>
  </si>
  <si>
    <t>2do. NIVEL  8mm@0,15</t>
  </si>
  <si>
    <t>CANCHA MULTIFUNCIONAL</t>
  </si>
  <si>
    <t>Z4</t>
  </si>
  <si>
    <t>Z5</t>
  </si>
  <si>
    <t>Z8</t>
  </si>
  <si>
    <t>Z9</t>
  </si>
  <si>
    <t>C7</t>
  </si>
  <si>
    <t>C8</t>
  </si>
  <si>
    <t>VCIM-125</t>
  </si>
  <si>
    <t>VCIM-126</t>
  </si>
  <si>
    <t>VCIM-127</t>
  </si>
  <si>
    <t>VCIM-128</t>
  </si>
  <si>
    <t>VIGA-212</t>
  </si>
  <si>
    <t>VIGA-213</t>
  </si>
  <si>
    <t>VIGA-214</t>
  </si>
  <si>
    <t>VT-272</t>
  </si>
  <si>
    <t>VIGA-300</t>
  </si>
  <si>
    <t>VIGA-301</t>
  </si>
  <si>
    <t>VT-350</t>
  </si>
  <si>
    <t>2do. NIVEL  4mm@0,15</t>
  </si>
  <si>
    <t xml:space="preserve">3er. NIVEL  </t>
  </si>
  <si>
    <t>CANCHA FUTBOL</t>
  </si>
  <si>
    <t>PTE-100mmX6,00mm - PARALES</t>
  </si>
  <si>
    <t>PTE-100mmX6,00mm - SUERDA SUP. E INF.</t>
  </si>
  <si>
    <t>PTE-75mmX4,00mm - PARALES Y DIAGONALES</t>
  </si>
  <si>
    <t>PTE-75mmX4,00mm - PRESILLAS</t>
  </si>
  <si>
    <t>60mmX160mmX2,00mm - CORREAS</t>
  </si>
  <si>
    <t>60mmX160mmX3,00mm - CORREAS</t>
  </si>
  <si>
    <t>PTE-Ø2,5"X3,00mm - RIOSTRA</t>
  </si>
  <si>
    <t>BARRA 5/8" - CONTRAVIENTO</t>
  </si>
  <si>
    <t>L2,5"X1/4" - CONTRAVIENTO</t>
  </si>
  <si>
    <t>L3"X1/4" - ANGULO RESPALDO</t>
  </si>
  <si>
    <t>PLATINAS CERCHA e=3/4"</t>
  </si>
  <si>
    <t>PERNOS CERCHA Ø3/4"</t>
  </si>
  <si>
    <t>PLATINAS RIOSTRA e=1/2"</t>
  </si>
  <si>
    <t>PLATINAS RIOSTRA e=3/8"</t>
  </si>
  <si>
    <t>PTE-100mmX150mmX4,00mm - CORREAS</t>
  </si>
  <si>
    <t>VCIM 125</t>
  </si>
  <si>
    <t>VCIM 127</t>
  </si>
  <si>
    <t>VCIM 128</t>
  </si>
  <si>
    <t>VCIM 126</t>
  </si>
  <si>
    <t>GRADA CANCHA FUTBOL</t>
  </si>
  <si>
    <t>VCIM 100</t>
  </si>
  <si>
    <t>VCIM 101</t>
  </si>
  <si>
    <t>VCIM 102</t>
  </si>
  <si>
    <t>VCIM 103</t>
  </si>
  <si>
    <t>VCIM 104</t>
  </si>
  <si>
    <t>VCIM 105</t>
  </si>
  <si>
    <t>VCIM 106</t>
  </si>
  <si>
    <t>VCIM 107</t>
  </si>
  <si>
    <t>VCIM 108</t>
  </si>
  <si>
    <t>VCIM 109</t>
  </si>
  <si>
    <t>VCIM 110</t>
  </si>
  <si>
    <t>VCIM 111</t>
  </si>
  <si>
    <t>VCIM 129</t>
  </si>
  <si>
    <t>VCIM 130</t>
  </si>
  <si>
    <t>VCIM 131</t>
  </si>
  <si>
    <t>VCIM 140</t>
  </si>
  <si>
    <t>VCIM 141</t>
  </si>
  <si>
    <t>VCIM 142</t>
  </si>
  <si>
    <t>VCIM 143</t>
  </si>
  <si>
    <t>VCIM 144</t>
  </si>
  <si>
    <t>VCIM 145</t>
  </si>
  <si>
    <t>VCIM 146</t>
  </si>
  <si>
    <t>VCIM 147</t>
  </si>
  <si>
    <t>VCIM 148</t>
  </si>
  <si>
    <t>VCIM 149</t>
  </si>
  <si>
    <t>VCIM 156</t>
  </si>
  <si>
    <t>VCIM 175</t>
  </si>
  <si>
    <t>CANCHA MULTIPLE</t>
  </si>
  <si>
    <t>VIGA - 212</t>
  </si>
  <si>
    <t>VIGA - 213</t>
  </si>
  <si>
    <t>VIGA - 202</t>
  </si>
  <si>
    <t>VIGA - 203</t>
  </si>
  <si>
    <t>VIGA - 204</t>
  </si>
  <si>
    <t>VIGA - 205</t>
  </si>
  <si>
    <t>VIGA - 206</t>
  </si>
  <si>
    <t>VIGA - 207</t>
  </si>
  <si>
    <t>VIGA - 215</t>
  </si>
  <si>
    <t>VIGA - 216</t>
  </si>
  <si>
    <t>VIGA - 217</t>
  </si>
  <si>
    <t>VIGA - 221</t>
  </si>
  <si>
    <t>VIGA - 222</t>
  </si>
  <si>
    <t>VIGA - 223</t>
  </si>
  <si>
    <t>VIGA - 229</t>
  </si>
  <si>
    <t>VIGA - 230</t>
  </si>
  <si>
    <t>VIGA - 231</t>
  </si>
  <si>
    <t>VIGA - 232</t>
  </si>
  <si>
    <t>ESCALERA 1</t>
  </si>
  <si>
    <t>ESCALERA 2</t>
  </si>
  <si>
    <t>ESCALERA 3</t>
  </si>
  <si>
    <t>LATERAL</t>
  </si>
  <si>
    <t>CANCHA SOFTBOL</t>
  </si>
  <si>
    <t>CANCHA FOTBOL</t>
  </si>
  <si>
    <t>CANCHA SOFBOL</t>
  </si>
  <si>
    <t>MURO POSTERIOR</t>
  </si>
  <si>
    <t>MURO FRONTAL</t>
  </si>
  <si>
    <t>MURO LATERAL</t>
  </si>
  <si>
    <t>MURO LATERAL INTERNO</t>
  </si>
  <si>
    <t>DIVISORIOS</t>
  </si>
  <si>
    <t xml:space="preserve">VNTANAS </t>
  </si>
  <si>
    <t>GARITAS</t>
  </si>
  <si>
    <t>ENFERMERIA</t>
  </si>
  <si>
    <t>CAMERINO EQUIPO 1</t>
  </si>
  <si>
    <t>BAÑOS HOMBRE-DISCAPCITADO</t>
  </si>
  <si>
    <t>CAMERINO ARBITROS</t>
  </si>
  <si>
    <t>BAÑOS MUJERES-DISCAPCITADO</t>
  </si>
  <si>
    <t>CAMERINO EQUIPO 2</t>
  </si>
  <si>
    <t xml:space="preserve">OFICINA ADMINISTRACION </t>
  </si>
  <si>
    <t>CAMERINO2</t>
  </si>
  <si>
    <t>CAMERINO 1</t>
  </si>
  <si>
    <t>BODEGA</t>
  </si>
  <si>
    <t>BANCA</t>
  </si>
  <si>
    <t>FRENTE</t>
  </si>
  <si>
    <t>RESTA PUERTA</t>
  </si>
  <si>
    <t>RESTA VENTANA 1</t>
  </si>
  <si>
    <t xml:space="preserve">   </t>
  </si>
  <si>
    <t>EXTERIOR</t>
  </si>
  <si>
    <t>DOGOUT 1</t>
  </si>
  <si>
    <t>DOGOUT 2</t>
  </si>
  <si>
    <t>GRADERIA OCCIDENTAL</t>
  </si>
  <si>
    <t>GRADERIA ORIENTAL</t>
  </si>
  <si>
    <t>CANCHA SOFBOL- DOGOUT</t>
  </si>
  <si>
    <t>MOVILIDAD REDUCIDA</t>
  </si>
  <si>
    <t>BORDILLO</t>
  </si>
  <si>
    <t>SENDERO</t>
  </si>
  <si>
    <t>OFICINA</t>
  </si>
  <si>
    <t>SOFTBOL</t>
  </si>
  <si>
    <t>MULTIPLE</t>
  </si>
  <si>
    <t>Lampara Led ILUMINACION SOLAR 40W 3948LM IP66 IK O8 AUTONOMA  DOBLE MARCA 5G con su respectivo POSTE DE 5 METROS 2 1/2 CON BRAZO DOBLE DE 0.50CM CADA UNO PINTURA ELECTROSTATICA ENRIQUECIDA EN ZING PARA ALTA SALINIDAD CON CANASTILLA DE ANCLAJE  incluye instalacion</t>
  </si>
  <si>
    <t>15.20</t>
  </si>
  <si>
    <t>4.10</t>
  </si>
  <si>
    <t>6.10</t>
  </si>
  <si>
    <t>9.10</t>
  </si>
  <si>
    <t>11.10</t>
  </si>
  <si>
    <t>15.10</t>
  </si>
  <si>
    <t>PLATINAS CERCHA e=7/8"</t>
  </si>
  <si>
    <t>ZONA SARDINEL</t>
  </si>
  <si>
    <t>GRAMOQUIN SARDINEL</t>
  </si>
  <si>
    <t>CAMERINOS</t>
  </si>
  <si>
    <t>CAMERINO ARBITRO</t>
  </si>
  <si>
    <t>CAMERINO 2</t>
  </si>
  <si>
    <t>Juego de 2 Lamparas Led ILUMINACION SOLAR 40W 3948LM IP66 IK O8 AUTONOMA  - MARCA 5G con su respectivo POSTE DE 5 METROS 2 1/2 CON BRAZO DOBLE DE 0.50CM CADA UNO PINTURA ELECTROSTATICA ENRIQUECIDA EN ZING PARA ALTA SALINIDAD CON CANASTILLA DE ANCLAJE  incluye instalacion</t>
  </si>
  <si>
    <t>Juego de 2 Lamparas Led deILUMINACION CONVENCIONAL LUMINARIA  ORA 50W GL02 SS 525 3K 2A 3000K MARCA 5G con su respectivo  POSTE DE 6 METROS 2 1/2 CON BRAZO DOBLE DE 0.50CM CADA UNO PINTURA ELECTROSTATICA ENRIQUECIDA EN ZING PARA ALTA SALINIDAD CON CANASTILLA DE ANCLAJE  incluye instalacion</t>
  </si>
  <si>
    <t>PROVISIONAL DE OBRA CON TRANSFORMADOR DE 25 KVA MONOFASICO 13200/240/127. INCLUYE 2 POSTES DE CONCRETO DE INSTALACION INTERNA DE OBRA. ACOMETIDA EN CABLE DE COBRE 2F#2+1N#2+1T#2, RETENIDA, SISTEMA DE PUESTA A TIERRA, TABLERO DE POTENCIA MULTIBREAKER CON ESPACIO PARA TOTALIZADOR, BREAKER INDUSTRIAL DE 100 AMP, BREAKER MONOPOBALES DE 20 AMP Y BIPOLARES DE 30 AMP. TRAMITES ANTE OPERADOR DE RED PARA FACTIBILIDAD, CONSULTORIA DE DISEÑOS Y DESCARGOS DE OBRAS PREVIAS Y ENERGIZACION, MEDIDOR DE MEDIDA ACTIVA DE 100 AMP</t>
  </si>
  <si>
    <t>Suministro e instalación reducción pvc-p de 1 1/4" -3/4"</t>
  </si>
  <si>
    <t xml:space="preserve">AREA  CANCHAS Y URBANISMO </t>
  </si>
  <si>
    <t>AREACANCHA MULTIPLE</t>
  </si>
  <si>
    <t>1.10</t>
  </si>
  <si>
    <t>1"</t>
  </si>
  <si>
    <t>ZANJAS</t>
  </si>
  <si>
    <t>CANCHA DE FUTBOL  CANAL</t>
  </si>
  <si>
    <t>SOBRE ANCHO 0.5</t>
  </si>
  <si>
    <t>CONTINUO</t>
  </si>
  <si>
    <t>SOBRE ANCHO O .1</t>
  </si>
  <si>
    <t>ZONA PERIMETRAL</t>
  </si>
  <si>
    <t>ZONAS COMUNES</t>
  </si>
  <si>
    <t>ANDEN</t>
  </si>
  <si>
    <t>TALUD</t>
  </si>
  <si>
    <t>CANCHA MULTIPLLE</t>
  </si>
  <si>
    <t>BICI</t>
  </si>
  <si>
    <t>Suministro puertas acceso baños metálica cal-20, Cald Rol o similar, incluye marco metálico , anclajes y herrajes, (Incluye suministro e instalación). TRITURADO</t>
  </si>
  <si>
    <t>CANCHA OCCIDENTAL 3/8"</t>
  </si>
  <si>
    <t>CANCHA ORIENTAL 3/8"</t>
  </si>
  <si>
    <t>ZONAS COMUNES INTERIOR Y EXTERIOR</t>
  </si>
  <si>
    <t>ESCALINATA OCCIDENTAL</t>
  </si>
  <si>
    <t>ESCALINATA ORIENTAL</t>
  </si>
  <si>
    <t xml:space="preserve"> OCCIDENTAL</t>
  </si>
  <si>
    <t xml:space="preserve"> ORIENTAL</t>
  </si>
  <si>
    <t>BAÑOS DISCAPACITADOS</t>
  </si>
  <si>
    <t>CANCHA OCCIDENTAL (BANCAS)</t>
  </si>
  <si>
    <t>CANCHA ORIENTAL (BANCAS)</t>
  </si>
  <si>
    <t>DOS CARAS</t>
  </si>
  <si>
    <t>BATERIA SANITARIA MUJER</t>
  </si>
  <si>
    <t>LOSA DE GRADERIAS BATERIA MUJER</t>
  </si>
  <si>
    <t>8.0mm@0,15</t>
  </si>
  <si>
    <t>BATERIA SANITARIA HOMBRE</t>
  </si>
  <si>
    <t>LOSA DE GRADERIAS BATERIA HOMBRE</t>
  </si>
  <si>
    <t>VIGA-208</t>
  </si>
  <si>
    <t>VIGA-209</t>
  </si>
  <si>
    <t>VIGA-210</t>
  </si>
  <si>
    <t>VIGA-211</t>
  </si>
  <si>
    <t>GRADERIA</t>
  </si>
  <si>
    <t>MUROS</t>
  </si>
  <si>
    <t>2,3,5,6,7,8,9,10,11,12,18,19,20 y21</t>
  </si>
  <si>
    <t>13 y 16</t>
  </si>
  <si>
    <t>B</t>
  </si>
  <si>
    <t>A y A'</t>
  </si>
  <si>
    <t>GRADA CENTRALES</t>
  </si>
  <si>
    <t>LOSA DE GRADERIAS</t>
  </si>
  <si>
    <t>CAMERINOS 1 Y 2</t>
  </si>
  <si>
    <t>LOSA DE GRADERIAS CAMERINOS 1 Y 2</t>
  </si>
  <si>
    <t>CAMERINOS ARBITRO</t>
  </si>
  <si>
    <t>CAMERINOSARBITROS</t>
  </si>
  <si>
    <t>CAMERINO 1 Y 2</t>
  </si>
  <si>
    <t xml:space="preserve">CAMERINOS Y BATERIAS SANITARIAS </t>
  </si>
  <si>
    <t>BAÑO DE HOMBRES</t>
  </si>
  <si>
    <t>BAÑO MUJERES</t>
  </si>
  <si>
    <t>CAMIRINO 1-2</t>
  </si>
  <si>
    <t>CAMIRINO ARBITROS</t>
  </si>
  <si>
    <t>BALANCE DE MAYORES Y MENORES</t>
  </si>
  <si>
    <t>MAYORES(+)</t>
  </si>
  <si>
    <t>MENORES(-)</t>
  </si>
  <si>
    <t>VR PARCIAL Inc. (AIU)</t>
  </si>
  <si>
    <t xml:space="preserve">TERRENO DE JUEGO </t>
  </si>
  <si>
    <t>REJILLAS</t>
  </si>
  <si>
    <t>BATERIA SANITARIA Y CAMERINOS</t>
  </si>
  <si>
    <t>BAHIA</t>
  </si>
  <si>
    <t>CONDICION EN EL AJUSTE DEL PROYECTO</t>
  </si>
  <si>
    <t>VR UNIT  Inc. (AIU)</t>
  </si>
  <si>
    <t xml:space="preserve"> $ MAYORES(+)</t>
  </si>
  <si>
    <t>$ MENORES(-)</t>
  </si>
  <si>
    <t xml:space="preserve"> CANCHAS DE FUTBOL 11, SOFTBOL Y BALONCESTO CONDICIONES CONTRACTUALES</t>
  </si>
  <si>
    <t>COLUMNETAS CADA 2.69 m</t>
  </si>
  <si>
    <t>VIGAS DE AMARRE 2.69 m</t>
  </si>
  <si>
    <t>VIGA DE CONFINAMIENTO 2.69 m</t>
  </si>
  <si>
    <t>CANCHA FUTBOL ML</t>
  </si>
  <si>
    <t>CANCHA DE SOFBOL ML</t>
  </si>
  <si>
    <t>ESCALINATA</t>
  </si>
  <si>
    <t>CANCHA MULTIPLE ML</t>
  </si>
  <si>
    <t xml:space="preserve">MURO DE CONTENCION </t>
  </si>
  <si>
    <t>SKATE PARK</t>
  </si>
  <si>
    <t>ACCESO PLCA 2 NIVEL</t>
  </si>
  <si>
    <t>SKATE PART</t>
  </si>
  <si>
    <t>TUBO 16"</t>
  </si>
  <si>
    <t>ACCESO 1 Losa 3cer nivel</t>
  </si>
  <si>
    <t>ACCESO 1 Losa 2do nivel</t>
  </si>
  <si>
    <t>CANCHAS FUTBOL</t>
  </si>
  <si>
    <t>CANCHAS SOFTBOL</t>
  </si>
  <si>
    <t>ZONA 2 PEDRO DE HEREDIA</t>
  </si>
  <si>
    <t>Z2-Z3</t>
  </si>
  <si>
    <t>Z5-Z4</t>
  </si>
  <si>
    <t>Z5-Z1</t>
  </si>
  <si>
    <t>Z1-Z2</t>
  </si>
  <si>
    <t>ZANJA DE TUBERIA FUTBOL 11</t>
  </si>
  <si>
    <t>ZANJA DE TUBERIA FUTBOL 9</t>
  </si>
  <si>
    <t>ACCESO 1 3cer nivel</t>
  </si>
  <si>
    <t>ACCESO 1 2do nivel</t>
  </si>
  <si>
    <t>ACCESO 2 1 3cer nivel</t>
  </si>
  <si>
    <t>ACCESO 2 2do nivel</t>
  </si>
  <si>
    <t>ADENEN PEDRO DE HEREDIA</t>
  </si>
  <si>
    <t>SKATE PARL</t>
  </si>
  <si>
    <t>ESCALERAS</t>
  </si>
  <si>
    <t>RAMPAS SKATE PARK</t>
  </si>
  <si>
    <t>MURO SKATE PARK</t>
  </si>
  <si>
    <t>MURO SKATE PARK RAMPAS ZONA MANGLAR</t>
  </si>
  <si>
    <t>SKATE PARK MALLA 8 MM</t>
  </si>
  <si>
    <t>VIGAS CIMENTO PARA RAMPA</t>
  </si>
  <si>
    <t>SAKATE PARK</t>
  </si>
  <si>
    <t>SKATE PARK relleno de rampas y escaleras</t>
  </si>
  <si>
    <t>SKATE PARK viga</t>
  </si>
  <si>
    <t>LOSA RAMPA</t>
  </si>
  <si>
    <t>BOWL</t>
  </si>
  <si>
    <t>BOWL DOBLE</t>
  </si>
  <si>
    <t>BOWL EN MURO</t>
  </si>
  <si>
    <t>RAMPA</t>
  </si>
  <si>
    <t>MURO BORDE SKATE PARK</t>
  </si>
  <si>
    <t>SKATE APRK</t>
  </si>
  <si>
    <t>ANGULOS 1 1/2</t>
  </si>
  <si>
    <t>ANGULOS 2</t>
  </si>
  <si>
    <t>CIMENTACION EXISTENTE</t>
  </si>
  <si>
    <t xml:space="preserve">CUARTO ELECTRICO </t>
  </si>
  <si>
    <t>CUARTO ELECTRICO, BASURA, CUARTO BOMBA</t>
  </si>
  <si>
    <t>VIGAS DE CUBIERTA</t>
  </si>
  <si>
    <t>VCIM-231</t>
  </si>
  <si>
    <t>VCIM-232</t>
  </si>
  <si>
    <t>CUARTO ELECTRICO, BASURA Y CUARTO DE BOMBA</t>
  </si>
  <si>
    <t>CUARTO ELECTRICO, BOMBA Y BASURA</t>
  </si>
  <si>
    <t>MALLA 8 mm 15 X 15 CM</t>
  </si>
  <si>
    <t>BODEGA, BOMBA, BASURA Y ELECTRICO</t>
  </si>
  <si>
    <t>DRENAJE ESTACION DE POLICIA</t>
  </si>
  <si>
    <t xml:space="preserve">ESCALINATA </t>
  </si>
  <si>
    <t>1.0 PRELIMINARES</t>
  </si>
  <si>
    <t>Cerramiento en Lamina galvanizada cal. 24 0.55 mm H=2.5 m, soportado tubería cuadrada 1" x 1.5 mm (cal. 16) y soportes verticales   en tubería rectangular de 80x40 mm cal 16. 600 mm. Instalados cada 2.44 m.</t>
  </si>
  <si>
    <t>Cerramiento temporal en lona verde H=2 m, soportado por listones de madera 1" x 2" y empotrado en concreto 3000 psi cada 2m.</t>
  </si>
  <si>
    <t>Desmonte de poste  de alumbrado y/o energía existente</t>
  </si>
  <si>
    <t>3.1</t>
  </si>
  <si>
    <t>CONCRETO VIGAS  CIMIENTOS, ZAPATAS Y AMARRES: Concreto premezclado de 4000 PSI para Viga Cimiento y zapatas  (incluye suministro, formaletería e instalación)</t>
  </si>
  <si>
    <t xml:space="preserve">Suministro e instalacion de grama sintetica Modelo Libra, quality pro de 50 mm, Monofilamento, 13/10 stichs, 12,000 dtex,gauge 5/8 inch, color verde esmeralda ,triple layer latex backing,FIFA PREFER PRODUCER, incluye Arena de Silice lavada y tamizada, granulla de caucho de granulometria comprendida entre 0,5-2 mm y demarcacion de cancha en grama sintetica blanca, area mayor y menor porteria, corner, punto penalty y circulo central y punto central. </t>
  </si>
  <si>
    <t>6.1</t>
  </si>
  <si>
    <t>6.2</t>
  </si>
  <si>
    <t>Impermeabilización acrílica para protección de cimentación de muros de cerramiento de canchas de futbol y cerramiento perimetral incluye, suministro y aplicación.</t>
  </si>
  <si>
    <t>15.1</t>
  </si>
  <si>
    <t>Suministro y siembra de arboles  4-5 m de altura Pomarrosa o similar (incluye suministro de tierra negra).</t>
  </si>
  <si>
    <t>401</t>
  </si>
  <si>
    <t>Suministro y siembra de arboles  3-5 m de altura Pomarrosa o similar (incluye suministro de tierra negra).</t>
  </si>
  <si>
    <t>CRUCE TUBERIA AGUAS NEGRAS</t>
  </si>
  <si>
    <t>PAVIMENTO CRUCE TUBERIA AGUAS NEGRAS</t>
  </si>
  <si>
    <t>Vertical exterior</t>
  </si>
  <si>
    <t>Vertical interior</t>
  </si>
  <si>
    <t>Vertical intercalado</t>
  </si>
  <si>
    <t>Horizontal nivel superior longitudinal</t>
  </si>
  <si>
    <t>Transversal zapata superior</t>
  </si>
  <si>
    <t>Transversal zapata inferior</t>
  </si>
  <si>
    <t>Longitudinal zapata superior</t>
  </si>
  <si>
    <t>Longitudinal zapata inferior</t>
  </si>
  <si>
    <t xml:space="preserve">MURO DE CONTENCION  </t>
  </si>
  <si>
    <t>kg/ml</t>
  </si>
  <si>
    <t>ESCALINATA(Cancha multiple)</t>
  </si>
  <si>
    <t xml:space="preserve">Z17 </t>
  </si>
  <si>
    <t>ITEM  NO PREVISTOS</t>
  </si>
  <si>
    <t>6,3</t>
  </si>
  <si>
    <t>CANCHA SOTFBOL</t>
  </si>
  <si>
    <t>GLOBAL DE ACUERDO PLANOS(No incluye zona donde se encuentra el asentamiento)</t>
  </si>
  <si>
    <t>LIGAS MENORES</t>
  </si>
  <si>
    <t>Lampara Led ILUMINACION CONVENCIONAL LUMINARIA  ORA GL02 SS 525 3K 2A 3000K MARCA 5G con su respectivo  POSTE DE 6 METROS 2 1/2 CON BRAZO SENCILLO  DE 0.50CM CADA UNO PINTURA ELECTROSTATICA ENRIQUECIDA EN ZING PARA ALTA SALINIDAD CON CANASTILLA DE ANCLAJE  incluye instalacion</t>
  </si>
  <si>
    <t>Juego de 2 Lamparas Led de ILUMINACION CONVENCIONAL LUMINARIA  ORA 50W GL02 SS 525 3K 2A 3000K MARCA 5G con su respectivo  POSTE DE 6 METROS 2 1/2 CON BRAZO DOBLE DE 0.50CM CADA UNO PINTURA ELECTROSTATICA ENRIQUECIDA EN ZING PARA ALTA SALINIDAD CON CANASTILLA DE ANCLAJE  incluye instalacion</t>
  </si>
  <si>
    <t>Acometidas desde tablero principal para alimentar  Bomba de sistema hidraulico  y  los tablero de iluminacion de las canchas de futbol y softbol, en  cable 3Fx#2+1N#2+1T#1/0 awg thhn y tuberia 2" incluye tendido</t>
  </si>
  <si>
    <t xml:space="preserve"> Acometidas para lamparas en mastiles 1, 2,3 y 4 de Polideportivo en tuberia PVC cable 3x#8 awg thhn + 1T 1/0  incluye tendido</t>
  </si>
  <si>
    <t>SUMINISTRO E INSTALACION DE SISTEMA DE CONTROL PARA ENCENDIDO DE LUCES POR RADIO FRECUENCIA (AIRMESH SYSTEM CONTROL), BASADO EN PROTOCOLO DE COMUNICACIÓN (RF), CON CONTROLADOR PRINCIPAL ACCESO VÍA REMOTA, CAPACIDADES DEL SISTEMA: ON OFF, PROGRAMACIÓN DE HORARIOS, ENTRE LOS TRABAJOS SE INCLUYEN: CANALIZACIONES, DUCTERIAS, CABLEADO, TABLEROS DE CONTROL, PROTECCIONES ELECTRICAS PARA EL CONTROL, ANTENAS, PROGRAMACIÓN Y PUESTA EN MARCHA. PARA CONTROL Y JUEGO DE LUCES Y ENCENDIDOS DE LOS REFLECTORES DE LAS CANCHAS DE FUTBOL DE LIGAS MENORES, FUTBOL 11, SOFTBOL, POLIDEPORTIVO Y SKATE PARK DE LIGAS MAYORES</t>
  </si>
  <si>
    <t>TABLERO control de luces de Polideportivo y  luces convencionales perimetrales incluye instalacion</t>
  </si>
  <si>
    <t>PROVISIONAL DE OBRA CON TRANSFORMADOR DE 30 KVA TRIFASICO 13200/220/127. INCLUYE 2 POSTES DE CONCRETO DE INSTALACION INTERNA DE OBRA. ACOMETIDA EN CABLE DE COBRE 3F#4+1N#4+1T#4, RETENIDA, SISTEMA DE PUESTA A TIERRA, TABLERO DE POTENCIA MULTIBREAKER CON ESPACIO PARA TOTALIZADOR, BREAKER INDUSTRIAL DE 80 AMP, BREAKER MONOPOBALES DE 20 AMP Y BIPOLARES DE 30 AMP. TRAMITES ANTE OPERADOR DE RED PARA FACTIBILIDAD, CONSULTORIA DE DISEÑOS Y DESCARGOS DE OBRAS PREVIAS Y ENERGIZACION, MEDIDOR DE MEDIDA ACTIVA DE 100 AMP</t>
  </si>
  <si>
    <t>GL</t>
  </si>
  <si>
    <t>PRELIMINARES</t>
  </si>
  <si>
    <t>ACERO DE REFUERZO</t>
  </si>
  <si>
    <t>ESTRUCTURA EN CONCRETO DE GRADERIAS, BAÑOS, CASETAS, CAFÉ,  ENTRADA, BODEGAS, CUERTO ELECTRICO, 
CUARTO DE CONTROL, BOMBAS, TANQUE, BOXCULVERT.</t>
  </si>
  <si>
    <t>MANPOSTERIA (MUROS DE CARRAMIENTO INTERIORES, DIVISIRIOS Y EXTERIORES)</t>
  </si>
  <si>
    <t xml:space="preserve">CERRAMIENTOS EXTERIORES E INTERIORES </t>
  </si>
  <si>
    <t xml:space="preserve">CUBIERTAS, MATOS, IMPERMIABILIZADO </t>
  </si>
  <si>
    <t>PISOS - ENCHAPES - PINTURA Y ACABADOS</t>
  </si>
  <si>
    <t>CAMPINTERIA METALICA (PUERTAS VENTANAS Y BARANDAS)</t>
  </si>
  <si>
    <t xml:space="preserve"> APARATOS SANITARIOS, ACCESORIOS DE BAÑOS Y CAFETERIAS</t>
  </si>
  <si>
    <t>SUMINISTROS E INSTLACIONES DE ELEMENTOS PARA EL CAMPO DE JUEGO Y GRADERIA</t>
  </si>
  <si>
    <t>URBANISMO</t>
  </si>
  <si>
    <t>LOGOS INSTITUCIONALES</t>
  </si>
  <si>
    <t>ESTRUCTURA EN CONCRETO DE GRADERIAS, BAÑOS, CASETAS, ZONA DE COMIDAS,  ENTRADA, BODEGAS, CUARTO ELECTRICO, 
CUARTO DE CONTROL, BOMBAS, TANQUE, BOXCULVERT.</t>
  </si>
  <si>
    <t xml:space="preserve">BATERIA SANITARIA Y CAMERINOS </t>
  </si>
  <si>
    <t>ITEM NO PREVISTOS LIGAS MENORES</t>
  </si>
  <si>
    <t>PISO SKATE PARK</t>
  </si>
  <si>
    <t>TUBO 5 CM PARA BORDE RAMPA</t>
  </si>
  <si>
    <t>15.2</t>
  </si>
  <si>
    <t>15.3</t>
  </si>
  <si>
    <t>ML</t>
  </si>
  <si>
    <t>Suministro e instalacion de sardinel tipo U10, incluye 3cm de mortero 1:4</t>
  </si>
  <si>
    <t>15.4</t>
  </si>
  <si>
    <t>Suministro e instalación de circuito cerrado de televisión y sistema de voz, dato y wiffi., incluye redes y accessorios.</t>
  </si>
  <si>
    <t>Suministro e Instalación de sistema de tanque septico de 50.000 litros(incluye tuberias, accesorios y todo lo relacionado para el correcto funcionamiento)</t>
  </si>
  <si>
    <t>Relleno Sistema Tanque Séptico</t>
  </si>
  <si>
    <t>ITEM  NO PREVISTOS LIGAS MAYORES</t>
  </si>
  <si>
    <t>Demoliciones de construcciones de hasta 2 pisos, incluye transporte y disposición final de escombro en sitio autorizado (Distancia de transporte 30 km). Incluye muros internos, externos, placas y cubiertas, además de los elementos internos que se encuentren en los mismos.</t>
  </si>
  <si>
    <t>Suministro e instalación Conjunto de canal de drenaje ACO QMAX NEO 300 fabricado en Polipropileno con reja integrada tipo ACO Q-Flow de fundición, Con una sección interior de 658 cm². Con junta estanca de EPDM para conexión Área de absorción de la reja de 187 cm²/m. Canal de sección con forma circular. Longitud de 1000 mm y longitud total de 1107 mm, altura exterior 561 mm, ancho exterior 349 mm y ancho exterior total de 366 mm. Ancho interior nominal Ø300 mm.</t>
  </si>
  <si>
    <t>SISTEMA DE DRENAJE</t>
  </si>
  <si>
    <t>CANALES DE DRENAJE AGUAS LLUVIAS</t>
  </si>
  <si>
    <t>CANAL REJILLA</t>
  </si>
  <si>
    <t>+</t>
  </si>
  <si>
    <t>ACERO DE REFUERZO LOSA DE PAVIMENTO PARQUEADERO</t>
  </si>
  <si>
    <t>|</t>
  </si>
  <si>
    <r>
      <t>Suministro e instalación de juego infantil tipo sube y baja, referencia 30209A</t>
    </r>
    <r>
      <rPr>
        <sz val="10"/>
        <rFont val="Arial"/>
        <family val="2"/>
      </rPr>
      <t xml:space="preserve">, fabricado en estructura metálica y plástico de alta resistencia, con componentes antivandálicos y acabado en polímero estabilizado UV. Diseñado para dos usuarios mediante movimiento de balanceo. Dimensiones aproximadas </t>
    </r>
    <r>
      <rPr>
        <b/>
        <sz val="10"/>
        <rFont val="Arial"/>
        <family val="2"/>
      </rPr>
      <t>2.60 × 0.50 × 0.80 m</t>
    </r>
    <r>
      <rPr>
        <sz val="10"/>
        <rFont val="Arial"/>
        <family val="2"/>
      </rPr>
      <t xml:space="preserve">, conforme a la </t>
    </r>
    <r>
      <rPr>
        <b/>
        <sz val="10"/>
        <rFont val="Arial"/>
        <family val="2"/>
      </rPr>
      <t>norma UNE-EN 1176</t>
    </r>
    <r>
      <rPr>
        <sz val="10"/>
        <rFont val="Arial"/>
        <family val="2"/>
      </rPr>
      <t>.</t>
    </r>
  </si>
  <si>
    <r>
      <t>Suministro e instalación de elemento de agilidad canina tipo slalom, referencia CAN003</t>
    </r>
    <r>
      <rPr>
        <sz val="10"/>
        <rFont val="Arial"/>
        <family val="2"/>
      </rPr>
      <t xml:space="preserve">, compuesto por postes verticales fabricados en material de alta resistencia, aptos para entrenamiento y ejercicio de perros. Diseño robusto con componentes antivandálicos y acabado resistente a la intemperie y radiación UV. Dimensiones aproximadas </t>
    </r>
    <r>
      <rPr>
        <b/>
        <sz val="10"/>
        <rFont val="Arial"/>
        <family val="2"/>
      </rPr>
      <t>3.88 × 0.038 × 1.00 m</t>
    </r>
    <r>
      <rPr>
        <sz val="10"/>
        <rFont val="Arial"/>
        <family val="2"/>
      </rPr>
      <t>, conforme a normativa aplicable para equipamiento de recreación canina.</t>
    </r>
  </si>
  <si>
    <r>
      <t>Suministro e instalación de juego infantil tipo columpio múltiple, referencia ATI047</t>
    </r>
    <r>
      <rPr>
        <sz val="10"/>
        <rFont val="Arial"/>
        <family val="2"/>
      </rPr>
      <t xml:space="preserve">, fabricado en estructura metálica de alta resistencia con asientos suspendidos mediante cadenas, diseñado para uso simultáneo de varios usuarios. Componentes antivandálicos y acabado resistente a la intemperie y radiación UV. Dimensiones aproximadas </t>
    </r>
    <r>
      <rPr>
        <b/>
        <sz val="10"/>
        <rFont val="Arial"/>
        <family val="2"/>
      </rPr>
      <t>7.00 × 6.70 × 3.10 m</t>
    </r>
    <r>
      <rPr>
        <sz val="10"/>
        <rFont val="Arial"/>
        <family val="2"/>
      </rPr>
      <t xml:space="preserve">, conforme a la </t>
    </r>
    <r>
      <rPr>
        <b/>
        <sz val="10"/>
        <rFont val="Arial"/>
        <family val="2"/>
      </rPr>
      <t>norma UNE-EN 1176</t>
    </r>
    <r>
      <rPr>
        <sz val="10"/>
        <rFont val="Arial"/>
        <family val="2"/>
      </rPr>
      <t>.</t>
    </r>
  </si>
  <si>
    <r>
      <t>Suministro e instalación de pavimento de seguridad continuo, referencia PROPLAY 25 MM + SCHO</t>
    </r>
    <r>
      <rPr>
        <sz val="10"/>
        <rFont val="Arial"/>
        <family val="2"/>
      </rPr>
      <t xml:space="preserve">, compuesto por césped artificial amortiguante con base elástica, fabricado con materiales reciclados y fibras sintéticas de alta resistencia. Diseñado para absorción de impactos en áreas infantiles y recreativas, con acabado resistente a la intemperie y radiación UV. Formato aproximado </t>
    </r>
    <r>
      <rPr>
        <b/>
        <sz val="10"/>
        <rFont val="Arial"/>
        <family val="2"/>
      </rPr>
      <t>1.00 × 1.00 × 0.025 m</t>
    </r>
    <r>
      <rPr>
        <sz val="10"/>
        <rFont val="Arial"/>
        <family val="2"/>
      </rPr>
      <t>, conforme a normativa aplicable para superficies de seguridad.</t>
    </r>
  </si>
  <si>
    <t>Suministro e instalación de juego infantil multifuncional, referencia ATI099, compuesto por estructura metálica y paneles en plástico de alta resistencia, que integra torres, plataformas, tobogán y elementos de trepa y juego interactivo. Diseño robusto con componentes antivandálicos y acabados resistentes a la intemperie y radiación UV. Dimensiones aproximadas 9.66 × 5.51 × 4.55 m, conforme a la norma UNE-EN 1176.</t>
  </si>
  <si>
    <t>TUBO 8" PERFO</t>
  </si>
  <si>
    <t>MURO BAJO</t>
  </si>
  <si>
    <t>CUARTO TECNICO</t>
  </si>
  <si>
    <t>PLAQUITAS 1</t>
  </si>
  <si>
    <t>PLAQUITAS 2</t>
  </si>
  <si>
    <t>PLAZOLETAS ZONA VERDE</t>
  </si>
  <si>
    <t>ZONA DE PICNIC</t>
  </si>
  <si>
    <t>ZONA DE MASCOTA</t>
  </si>
  <si>
    <t>ZONAS COMUNES Y VERDE</t>
  </si>
  <si>
    <t xml:space="preserve">MEJORAMIENTO AREA DESALOJADA </t>
  </si>
  <si>
    <t>ZONA JUEGOS DE NIÑOS Y SENDERO ECOLOGICO</t>
  </si>
  <si>
    <t>SENEDERO POLICIA</t>
  </si>
  <si>
    <t>Suministro e instalación de grama sintética tipo School, fabricada en fibras sintéticas de alta resistencia, apta para áreas recreativas, educativas y deportivas. Superficie confortable, antideslizante y resistente a la intemperie y radiación UV. Dimensiones aproximadas 1.00 × 1.00 × 0.05 m, conforme a normativa aplicable para superficies recreativas</t>
  </si>
  <si>
    <r>
      <t>Suministro e instalación de elemento de agilidad canina tipo balancín, referencia CAN007</t>
    </r>
    <r>
      <rPr>
        <sz val="10"/>
        <rFont val="Arial"/>
        <family val="2"/>
      </rPr>
      <t xml:space="preserve">, fabricado en estructura metálica con plataforma antideslizante de alta resistencia, diseñado para entrenamiento, equilibrio y ejercicio de perros. Componentes robustos, antivandálicos y acabados resistentes a la intemperie y radiación UV. Dimensiones aproximadas </t>
    </r>
    <r>
      <rPr>
        <b/>
        <sz val="10"/>
        <rFont val="Arial"/>
        <family val="2"/>
      </rPr>
      <t>3.60 × 0.50 × 1.20 m</t>
    </r>
    <r>
      <rPr>
        <sz val="10"/>
        <rFont val="Arial"/>
        <family val="2"/>
      </rPr>
      <t>, conforme a normativa aplicable para equipamiento de recreación canina.</t>
    </r>
  </si>
  <si>
    <t>Suministro e instalación de elemento de agilidad canina tipo túnel, referencia CAN005B, fabricado en estructura metálica y tubo flexible de alta resistencia, con paneles laterales en plástico reforzado. Diseñado para el entrenamiento, juego y estimulación física de perros, con componentes robustos, antivandálicos y acabados resistentes a la intemperie y radiación UV. Dimensiones aproximadas 2.00 × 1.40 × 1.50 m, conforme a normativa aplicable para equipamiento de recreación canina.</t>
  </si>
  <si>
    <t>Suministro e instalación de juego infantil tipo resorte referencia OCE003, con diseño figurativo (animal), fabricado en plástico de alta resistencia y resorte metálico para movimiento oscilante. Incluye componentes antivandálicos, herrajes galvanizados y acabados en polímero estabilizado UV, apto para uso exterior. Anclaje seguro a superficie rígida, adecuado para áreas recreativas infantiles. Dimensiones aproximadas: 1.00 × 0.50 × 1.00 m.</t>
  </si>
  <si>
    <t>Suministro e instalación de juego infantil tipo resorte referencia OCE004, con diseño figurativo, fabricado en plástico de alta resistencia y sistema de resorte metálico que permite movimiento oscilante controlado. Cuenta con componentes antivandálicos, herrajes de alta durabilidad y acabados en polímero estabilizado UV, aptos para uso exterior. Incluye asiento integrado y anclaje seguro a superficie rígida, ideal para áreas recreativas infantiles.  Dimensiones aproximadas: 1.10 × 0.30 × 0.80 m.</t>
  </si>
  <si>
    <t>Suministro e instalación de juego infantil tipo resorte referencia OCE005, con diseño figurativo, fabricado en plástico de alta resistencia y sistema de resorte metálico que permite movimiento oscilante controlado. Cuenta con componentes antivandálicos, herrajes de alta durabilidad y acabados en polímero estabilizado UV, aptos para uso exterior. Incluye asiento integrado y anclaje seguro a superficie rígida, ideal para áreas recreativas infantiles.  Dimensiones aproximadas: 1.10 × 0.30 × 0.80 m.</t>
  </si>
  <si>
    <t>Suministro e instalación de juego infantil tipo balancín múltiple referencia OCE013, diseñado para uso simultáneo de varios niños. Estructura fabricada en acero de alta resistencia, con resortes metálicos individuales que permiten movimiento oscilante independiente en cada punto. Incluye asientos ergonómicos antideslizantes, empuñaduras de seguridad y componentes antivandálicos, con acabados en pintura electrostática y polímeros estabilizados UV, aptos para uso exterior. Anclaje seguro a superficie rígida, ideal para parques y áreas recreativas. Dimensiones aproximadas: 2.80 × 3.10 × 1.10 m.</t>
  </si>
  <si>
    <t>Suministro e instalación de juego infantil interactivo tipo panel lúdico referencia OCE015, diseñado para estimular la coordinación, percepción visual y juego didáctico. Fabricado en plástico de alta resistencia y estructura de soporte en acero, con elementos giratorios integrados y componentes antivandálicos. Presenta acabados en polímero estabilizado UV y pintura de alta durabilidad, aptos para uso exterior. Incluye anclaje seguro a superficie rígida, ideal para parques y áreas recreativas infantiles. Dimensiones aproximadas: 1.60 × 0.15 × 1.70 m.</t>
  </si>
  <si>
    <t>Suministro e instalación de juego infantil interactivo tipo panel lúdico referencia OCE017, diseñado para el desarrollo de la motricidad fina, coordinación y resolución de recorridos mediante laberinto integrado. Fabricado en plástico de alta resistencia con estructura de soporte en acero, incorpora componentes antivandálicos y acabados en polímero estabilizado UV, aptos para uso exterior. Incluye anclaje seguro a superficie rígida, ideal para parques y áreas recreativas infantiles. Dimensiones aproximadas: 1.60 × 0.15 × 1.70 m.</t>
  </si>
  <si>
    <t>Suministro e instalación de juego infantil modular de gran formato referencia OCE105, compuesto por torres, plataformas elevadas, redes de trepa, puentes, paneles lúdicos y elementos de deslizamiento, diseñado para el uso simultáneo de varios niños. Estructura principal en acero de alta resistencia, con componentes en plástico de ingeniería, redes reforzadas y componentes antivandálicos. Presenta acabados en pintura electrostática y polímeros estabilizados UV, aptos para uso exterior. Incluye anclaje seguro a superficie rígida, ideal para parques y áreas recreativas infantiles. Dimensiones aproximadas: 6.00 × 10.00 × 3.50 m.</t>
  </si>
  <si>
    <t>Suministro e instalación de juego infantil de trepa y equilibrio referencia OCE202, conformado por estructuras curvas tridimensionales, redes de cuerda reforzada y plataformas suspendidas, diseñado para estimular la coordinación, fuerza y equilibrio en uso simultáneo. Estructura portante en acero de alta resistencia, con cuerdas sintéticas de alto desempeño, componentes antivandálicos y acabados resistentes a la intemperie y estabilizados UV, aptos para uso exterior. Incluye anclaje seguro a superficie rígida, ideal para parques y áreas recreativas infantiles. Dimensiones aproximadas: 7.20 × 6.60 × 2.60 m.</t>
  </si>
  <si>
    <t>Suministro e instalación de estación canina referencia CAN012, diseñada para dispensación de bolsas y disposición de residuos en áreas públicas. Fabricada en plástico de alta resistencia, con componentes antivandálicos y acabados estabilizados UV, aptos para uso exterior. Incluye compartimento frontal, señalización gráfica y anclaje seguro a superficie rígida, ideal para parques y zonas de recreación con mascotas. Dimensiones aproximadas: 0.20 × 0.20 × 1.10 m.</t>
  </si>
  <si>
    <t>Suministro e instalación de estación canina multifuncional referencia CAN013, diseñada para higiene y uso complementario en zonas de mascotas, con dispensador de bolsas y plataforma de apoyo para limpieza básica. Fabricada en plástico de alta resistencia, con componentes antivandálicos y acabados en polímero estabilizado UV, aptos para uso exterior. Incluye anclaje seguro a superficie rígida, ideal para parques y áreas recreativas caninas. Dimensiones aproximadas: 0.66 × 0.40 × 1.10 m</t>
  </si>
  <si>
    <t>Suministro e instalación de juego infantil modular de gran formato referencia HEX104, conformado por módulos hexagonales elevados, plataformas interconectadas, redes de trepa, elementos de ascenso y tobogán tubular, diseñado para el uso simultáneo de varios niños y el desarrollo de coordinación, fuerza y equilibrio. Estructura principal en acero de alta resistencia, con componentes en plástico de ingeniería, redes reforzadas y componentes antivandálicos. Presenta acabados en pintura electrostática y polímeros estabilizados UV, aptos para uso exterior. Incluye anclaje seguro a superficie rígida, ideal para parques y áreas recreativas infantiles. Dimensiones aproximadas: 17.10 × 4.00 × 4.30 m.</t>
  </si>
  <si>
    <t>Suministro e instalación de juego infantil modular de gran altura referencia OCE301B, tipo torre, con plataformas elevadas, escaleras, redes de trepa y toboganes, diseñado para uso simultáneo de varios niños. Estructura en acero de alta resistencia, componentes en plástico de ingeniería, acabados estabilizados UV y elementos antivandálicos, aptos para uso exterior. Incluye anclaje seguro a superficie rígida. Dimensiones aproximadas: 8.50 × 5.70 × 8.00 m.</t>
  </si>
  <si>
    <t>Suministro e instalación de juego infantil modular referencia HEX005, conformado por plataformas elevadas, módulos hexagonales, pasarelas y elementos de equilibrio, diseñado para uso simultáneo. Estructura en acero de alta resistencia, con componentes en plástico de ingeniería, acabados estabilizados UV y elementos antivandálicos, aptos para uso exterior. Incluye anclaje seguro a superficie rígida. Dimensiones aproximadas: 9.10 × 5.60 × 2.20 m.
Cumple con la norma UNE-EN 1176 para equipamiento de áreas de juego infantiles.</t>
  </si>
  <si>
    <t>Suministro e instalación de atracción infantil tipo giro referencia KOM001, fabricada en plástico de alta resistencia con diseño monobloque para operación mediante giro. Incorpora componentes antivandálicos y acabados en polímero estabilizado UV, aptos para uso exterior. Incluye anclaje seguro a superficie rígida. Dimensiones aproximadas: 0.52 × 0.55 × 0.60 m.
Cumple con la norma UNE-EN 1176 para equipamiento de áreas de juego infantiles.</t>
  </si>
  <si>
    <t>Suministro e instalación de elemento canino tipo rampa referencia CAN002B, diseñado para entrenamiento, agilidad y recreación de mascotas. Estructura en acero de alta resistencia, con superficie de tránsito en plástico antideslizante, acabados estabilizados UV y componentes antivandálicos, aptos para uso exterior. Incluye anclaje seguro a superficie rígida. Dimensiones aproximadas: 4.38 × 0.97 × 1.20 m.</t>
  </si>
  <si>
    <t xml:space="preserve">Suministro e instalación de elemento canino tipo salto referencia CAN001B, diseñado para entrenamiento y agilidad de mascotas. Estructura en acero de alta resistencia, con barra regulable en altura, acabados estabilizados UV y componentes antivandálicos, aptos para uso exterior. Incluye anclaje seguro a superficie rígida. Dimensiones aproximadas: 1.22 × 0.30 × 1.00 m.
</t>
  </si>
  <si>
    <t>Suministro e instalación de elemento canino tipo aro de salto referencia CAN004B, diseñado para entrenamiento, agilidad y recreación de mascotas. Estructura en acero de alta resistencia, con acabados estabilizados UV y componentes antivandálicos, aptos para uso exterior. Incluye anclaje seguro a superficie rígida. Dimensiones aproximadas: 1.17 × 0.10 × 1.21 m.</t>
  </si>
  <si>
    <t>Suministro e instalación de juego infantil modular referencia ART001, compuesto por plataformas, paneles lúdicos, elementos de ascenso y tobogán, diseñado para uso simultáneo. Estructura en acero de alta resistencia, componentes en plástico de ingeniería, acabados estabilizados UV y elementos antivandálicos, aptos para uso exterior. Incluye anclaje seguro a superficie rígida. Dimensiones aproximadas: 4.84 × 2.53 × 2.38 m. Cumple con la norma UNE-EN 1176 para equipamiento de áreas de juego infantiles.</t>
  </si>
  <si>
    <t>Suministro e instalación de banca urbana referencia BAN014, con estructura en acero de alta resistencia y asiento y respaldo en material plástico de alta durabilidad. Cuenta con componentes antivandálicos, acabados estabilizados UV y pintura resistente a la intemperie, aptos para uso exterior. Incluye anclaje seguro a superficie rígida, ideal para parques y espacios públicos. Dimensiones aproximadas: 1.50 × 0.65 × 0.85 m.</t>
  </si>
  <si>
    <t>Suministro e instalación de cerramiento para parque canino referencia CRR010, destinado a la delimitación y control de áreas de recreación para mascotas. Fabricado con estructura en acero y elementos verticales en material plástico de alta resistencia, con componentes antivandálicos y acabados estabilizados UV, aptos para uso exterior. Incluye anclaje seguro a superficie rígida, garantizando durabilidad y seguridad en zonas caninas. Dimensiones aproximadas: 1.00 × 0.15 × 1.00 m.</t>
  </si>
  <si>
    <t>Suministro e instalación de poste de amarre para mascotas referencia CAN015, diseñado para la sujeción temporal de perros en áreas públicas. Fabricado en acero de alta resistencia, con ganchos integrados, componentes antivandálicos y acabados estabilizados UV, aptos para uso exterior. Incluye anclaje seguro a superficie rígida, ideal para parques y zonas caninas. Dimensiones aproximadas: 0.20 × 0.20 × 1.00 m.</t>
  </si>
  <si>
    <t>Suministro e instalación de pavimento de seguridad continuo, referencia Proplay 50 mm + School, compuesto por césped sintético amortiguante con base elástica de caucho, fabricado con materiales de alta resistencia. Diseñado para absorción de impactos en áreas infantiles y recreativas, con acabado antideslizante y resistente a la intemperie y radiación UV. Formato aproximado 1.00 × 1.00 × 0.05 m, conforme a normativa aplicable para superficies de seguridad.</t>
  </si>
  <si>
    <r>
      <t xml:space="preserve">Suministro e instalación de </t>
    </r>
    <r>
      <rPr>
        <sz val="10"/>
        <rFont val="Arial"/>
        <family val="2"/>
      </rPr>
      <t>juego infantil de trepa tridimensional referencia 60144A, conformado por estructura espacial, redes de cuerda reforzada y nodos de unión, diseñado para el uso simultáneo de varios niños y el desarrollo de coordinación, fuerza y equilibrio. Estructura principal en acero de alta resistencia, con cuerdas sintéticas de alto desempeño, componentes antivandálicos y acabados estabilizados UV, aptos para uso exterior. Incluye anclaje seguro a superficie rígida. Dimensiones aproximadas: 4.20 × 4.20 × 3.00 m. Cumple con la norma UNE-EN 1176 para equipamiento de áreas de juego infantiles.</t>
    </r>
  </si>
  <si>
    <r>
      <t xml:space="preserve">Suministro e instalación de </t>
    </r>
    <r>
      <rPr>
        <sz val="10"/>
        <rFont val="Arial"/>
        <family val="2"/>
      </rPr>
      <t>juego infantil de trepa tipo piramidal referencia ATI058, conformado por red de cuerdas reforzadas tensadas sobre estructura central y anclajes perimetrales, diseñado para el desarrollo de fuerza, coordinación y equilibrio. Estructura portante en acero de alta resistencia, cuerdas sintéticas de alto desempeño, componentes antivandálicos y acabados estabilizados UV, aptos para uso exterior. Incluye anclaje seguro a superficie rígida. Dimensiones aproximadas: 3.85 × 3.85 × 3.00 m. Cumple con la norma UNE-EN 1176 para equipamiento de áreas de juego infantiles.</t>
    </r>
  </si>
  <si>
    <r>
      <t xml:space="preserve">Suministro e instalación de </t>
    </r>
    <r>
      <rPr>
        <sz val="10"/>
        <rFont val="Arial"/>
        <family val="2"/>
      </rPr>
      <t>juego infantil tipo columpio referencia SPO06, con estructura metálica de alta resistencia y dos asientos suspendidos, diseñado para uso simultáneo. Incluye cadenas galvanizadas, asientos de alta durabilidad, componentes antivandálicos y acabados estabilizados UV, aptos para uso exterior. Anclaje seguro a superficie rígida. Dimensiones aproximadas: 3.80 × 2.18 × 2.30 m. Cumple con la norma UNE-EN 1176 para equipamiento de áreas de juego infantiles.</t>
    </r>
  </si>
  <si>
    <r>
      <t>Suministro e instalación de juego infantil tipo balancín múltiple, referencia OCE001</t>
    </r>
    <r>
      <rPr>
        <sz val="10"/>
        <rFont val="Arial"/>
        <family val="2"/>
      </rPr>
      <t>, fabricado en estructura metálica y paneles en plástico de alta resistencia, con apoyos elásticos que permiten movimiento de balanceo controlado. Diseñado para uso simultáneo de varios niños, con componentes antivandálicos y acabados resistentes a la intemperie y radiación UV. Dimensiones aproximadas 3.45 × 1.60 × 1.06 m, conforme a la norma UNE-EN 117</t>
    </r>
  </si>
  <si>
    <t>Suministro e instalación de juego infantil multifuncional de escalada y equilibrio, referencia ATI114A, fabricado en estructura metálica de alta resistencia con plataformas, elementos de trepa, pasarelas y apoyos de equilibrio. Diseñado para el desarrollo físico y motriz infantil, con componentes antivandálicos y acabados resistentes a la intemperie y radiación UV. Dimensiones aproximadas 7.00 × 7.80 × 3.40 m, conforme a la norma UNE-EN 1176.</t>
  </si>
  <si>
    <t>Suministro de equipo certificado para escalada, compuesto por casco, arnés y sistema de aseguramiento, fabricados con materiales de alta resistencia. Diseñados para garantizar la seguridad del usuario durante actividades de trepa y escalada, cumpliendo con normas técnicas y de seguridad aplicables.</t>
  </si>
  <si>
    <t>CUBIERTA DE GRADERIA</t>
  </si>
  <si>
    <t>GRAMOQUIN A</t>
  </si>
  <si>
    <t xml:space="preserve">GRAMOQUIN </t>
  </si>
  <si>
    <t>Suministro y construcción in situ de contenedor de raíces redondo para arborización, de 1,20 m de diámetro y 0,80 m de profundidad, elaborado en concreto de 3.000 psi, con acabado liso. Incluye excavación, formaleta, vaciado, vibrado, curado y desmolde.</t>
  </si>
  <si>
    <t>15.5</t>
  </si>
  <si>
    <t>15.6</t>
  </si>
  <si>
    <t>15.7</t>
  </si>
  <si>
    <t>15.8</t>
  </si>
  <si>
    <t>15.9</t>
  </si>
  <si>
    <t>15.11</t>
  </si>
  <si>
    <t>15.12</t>
  </si>
  <si>
    <t>15.13</t>
  </si>
  <si>
    <t>15.14</t>
  </si>
  <si>
    <t>15.15</t>
  </si>
  <si>
    <t>15.16</t>
  </si>
  <si>
    <t>15.17</t>
  </si>
  <si>
    <t>15.18</t>
  </si>
  <si>
    <t>15.19</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</si>
  <si>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</si>
  <si>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</si>
  <si>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</si>
  <si>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</si>
  <si>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</si>
  <si>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</si>
  <si>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</si>
  <si>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</si>
  <si>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</si>
  <si>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</si>
  <si>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</si>
  <si>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</si>
  <si>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</si>
  <si>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</si>
  <si>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</si>
  <si>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</si>
  <si>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</si>
  <si>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</si>
  <si>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</si>
  <si>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</si>
  <si>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</si>
  <si>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</si>
  <si>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</si>
  <si>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</si>
  <si>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Divisiones de Baños en láminas de acero inoxidable Cal-20 y soportes 2"x4" y espesor de 3 mm operación satinado externo #4 y con herrajes en acero inoxidable, (Incluye suministro e instalación)</t>
  </si>
  <si>
    <t>Fabricación, suministro e instalación de banco de suplentes para dieciséis (16) puestos, conformado por estructura metálica en acero, con acabado en galvanizado en frío y pintura esmalte color a elección de la entidad, provisto de rodachines de 6”, e incluye dieciséis (16) sillas tipo Ferrari con asiento en espuma de alta densidad y espaldar en poliuretano inyectado, tapizadas en vinilcuero automotriz, con logo institucional bordado. Incluye cubierta en policarbonato alveolar traslúcido de 6 mm, accesorios, transporte, instalación, nivelación.</t>
  </si>
  <si>
    <t>Fabricación, suministro e instalación de banco de árbitro para cuatro (4) puestos, conformado por estructura metálica en acero, con acabado en galvanizado en frío y pintura esmalte color a elección de la entidad, dotado de cuatro (4) sillas tipo Ferrari con asiento en espuma de alta densidad y espaldar en poliuretano inyectado, tapizadas en vinilcuero automotriz, con logo institucional bordado. Incluye cubierta en policarbonato alveolar traslúcido de 6 mm, accesorios, transporte, instalación, nivelación.</t>
  </si>
  <si>
    <r>
      <t>Suministro e instalación de juego infantil tipo muro de escalada, referencia ATI126A</t>
    </r>
    <r>
      <rPr>
        <sz val="10"/>
        <rFont val="Arial"/>
        <family val="2"/>
      </rPr>
      <t>, fabricado en estructura metálica con paneles modulares de escalada en material sintético de alta resistencia. Diseñado para actividades de trepa y desarrollo físico, con presas integradas, componentes antivandálicos y acabados resistentes a la intemperie y radiación UV. Dimensiones aproximadas 11.00 × 1.00 × 6.00 m, conforme a la norma UNE-EN 1176.</t>
    </r>
  </si>
  <si>
    <r>
      <t>Suministro e instalación de juego infantil multifuncional, referencia ART261</t>
    </r>
    <r>
      <rPr>
        <sz val="10"/>
        <rFont val="Arial"/>
        <family val="2"/>
      </rPr>
      <t>, fabricado en estructura metálica y paneles en plástico de alta resistencia, que integra plataformas, túnel, tobogán y elementos de acceso. Diseñado para el juego activo y desarrollo motriz infantil, con componentes antivandálicos y acabados resistentes a la intemperie y radiación UV. Dimensiones aproximadas 2.92 × 1.99 × 2.31 m, conforme a la norma UNE-EN 1176.</t>
    </r>
  </si>
  <si>
    <r>
      <t>Suministro e instalación de juego infantil de trepa modular, referencia HEX110</t>
    </r>
    <r>
      <rPr>
        <sz val="10"/>
        <rFont val="Arial"/>
        <family val="2"/>
      </rPr>
      <t>, compuesto por módulos geométricos interconectados en estructura metálica y paneles en plástico de alta resistencia. Diseñado para actividades de escalada, equilibrio y desarrollo motriz, con componentes antivandálicos y acabados resistentes a la intemperie y radiación UV. Dimensiones aproximadas 9.43 × 2.52 × 2.41 m, conforme a la norma UNE-EN 1176.</t>
    </r>
  </si>
  <si>
    <t>Rejillas</t>
  </si>
  <si>
    <t>Suministro e instalación de sistema de bombeo de agua potable, consiste en dos bombas de q = 10,0 lps, cdt: 40 m; pot: 9,0 hp y tanque hidroneumático de vol: 1000 lts</t>
  </si>
  <si>
    <t>Muro de policia</t>
  </si>
  <si>
    <t>losa en concreto  e=0.12 m 3000 psi para parque de niños (Incluye  mezcla, formaleta, fundida y curado)</t>
  </si>
  <si>
    <t>CONTRATANTE</t>
  </si>
  <si>
    <t>ALCALDIA MAYOR DE CARTAGENA DE INDIAS</t>
  </si>
  <si>
    <t>FECHA DE ELABORACIÓN</t>
  </si>
  <si>
    <t>CONTRATO DE OBRA No.	LP-SEGD-001-2024</t>
  </si>
  <si>
    <t>PLAZO CONTRACTUAL</t>
  </si>
  <si>
    <t>OBJETO</t>
  </si>
  <si>
    <t>CONSTRUCCIÓN DEL COMPLEJO DEPORTIVO NUEVO CHAMBACÚ</t>
  </si>
  <si>
    <t>FECHA DE INICIACIÓN</t>
  </si>
  <si>
    <t>CUATRO(04) DE SEPTIEMBRE DE 2024</t>
  </si>
  <si>
    <t>FECHA DE FINALIZACIÓN</t>
  </si>
  <si>
    <t>CONTRATISTA</t>
  </si>
  <si>
    <t>CONSORCIO COMPLEJO DEPORTIVO 2024</t>
  </si>
  <si>
    <t>INTERVENTORIA</t>
  </si>
  <si>
    <t>CONSORCIO INTERDEPORTIVO NCH</t>
  </si>
  <si>
    <t>REPÚBLICA DE COLOMBIA
ALCADIA MAYOR DE CARTAGENA DE INDIAS
SECRETARÍA DE INFRAESTRUCTURA
BALANCE DE MAYORES Y MENORES CANTIDADES E ITEMS NO PREVISTOS O ADICIONALES</t>
  </si>
  <si>
    <t>TREINTA (30) DE JUNIO DE 2026</t>
  </si>
  <si>
    <t>VEINTICUATRO (24) MESES</t>
  </si>
  <si>
    <t>VALOR INICIAL TOTAL DEL CONTRATO</t>
  </si>
  <si>
    <t>VALOR  FINAL CONTRATO</t>
  </si>
  <si>
    <t>_____________________________________</t>
  </si>
  <si>
    <t>_______________________________________</t>
  </si>
  <si>
    <t>________________________________________</t>
  </si>
  <si>
    <t>GIOVANNY ARROYO VANEGAS</t>
  </si>
  <si>
    <t>JHON COSTA ORTEGA</t>
  </si>
  <si>
    <t>WILMER IRIARTE RESTREPO</t>
  </si>
  <si>
    <t>REPRESENTANTE LEGAL</t>
  </si>
  <si>
    <t>SUPERVISOR</t>
  </si>
  <si>
    <t>CONSORCIO INTEDEPORTIVO NCH</t>
  </si>
  <si>
    <t>SECRETARIA DE INFRAESTRUCTURA DISTRITAL</t>
  </si>
  <si>
    <t>Muro en tubería galvanizada de 2.5"  e: 2.5 mm  h=3.0 m serapados cada 12 cm y empotrado 50cm, incluye pintura epoxica poliamida tipo 1.</t>
  </si>
  <si>
    <t>Suministro puertas acceso acero inoxidable cal-20, Cald Rol o similar, de 0.85,0mts X 2,10, incluye marco metálico de 2"x4", anclajes y herrajes, (Incluye suministro e instalación).</t>
  </si>
  <si>
    <t>Divisiones de Orinales en láminas de aceo inolxidable Cal-20 y espesor de e3 mm  y con herrajes en acero inoxidable, (Incluye suministro e instalación)</t>
  </si>
  <si>
    <t>Suministro puertas acceso baños en acero inoxidable cal-20, Cald Rol o similar, de 0.85,0mts X 2,10, incluye marco metálico de 2"x4", anclajes y herrajes, (Incluye suministro e instalación).</t>
  </si>
  <si>
    <t>Divisiones de Orinales en láminas de acero inoxidable Cal-20 y espesor de e3 mm  y con herrajes en acero inoxidable, (Incluye suministro e instalación)</t>
  </si>
  <si>
    <t>Acero de refuerzo cimnetacion de juegos</t>
  </si>
  <si>
    <t xml:space="preserve">Mastiles hasta 12mts  metalicos, con canastilla para maximo 16 reflectores, con linea de vida y pasos para escalar, deben de ser embonados y con suficiente resistencia para los vientos de 130 KM/h, galvanizado en caliente con espesor de recubrimiento de acuerdo a lo estipulado en la norma NTC2076 y al alto impacto a la salinidad. Espesor mínimo 75 micras. incluye trasnsporte, descargue, armado, izado e instalacion </t>
  </si>
  <si>
    <t xml:space="preserve">REFLECTOR MODELO PLEXUM 1800, FLUJOLUMINOSO &gt;173000 LM, CRI 80 5700°K, VARIAS CURVAS FOTOMÉTRICAS PINTURA ELECTROSTATICA ENRIQUECIDA EN ZING PARA ALTA SALINIDADGARANTIA DE 5 AÑOS.  armado, izado e instalacion </t>
  </si>
  <si>
    <t xml:space="preserve">                                      COMPLEJO DEPORTIVO NUEVO CHAMBACÚ 
                               (CANCHAS LIGAS MAYORES Y MENORES)</t>
  </si>
  <si>
    <t xml:space="preserve">  </t>
  </si>
  <si>
    <t>TREINTA (30)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</si>
</sst>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 #,##0.00\ &quot;€&quot;_-;\-* #,##0.00\ &quot;€&quot;_-;_-* &quot;-&quot;??\ &quot;€&quot;_-;_-@_-"/>
    <numFmt numFmtId="167" formatCode="&quot;$&quot;\ #,##0.00_);\(&quot;$&quot;\ #,##0.00\)"/>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 #,##0.00\ [$€]_-;\-* #,##0.00\ [$€]_-;_-* &quot;-&quot;??\ [$€]_-;_-@_-"/>
    <numFmt numFmtId="181" formatCode="_ * #,##0_ ;_ * \-#,##0_ ;_ * &quot;-&quot;??_ ;_ @_ "/>
    <numFmt numFmtId="182" formatCode="_-[$$-240A]\ * #,##0.00_ ;_-[$$-240A]\ * \-#,##0.00\ ;_-[$$-240A]\ * &quot;-&quot;??_ ;_-@_ "/>
    <numFmt numFmtId="183" formatCode="_-[$$-240A]* #,##0.00_-;\-[$$-240A]* #,##0.00_-;_-[$$-240A]* &quot;-&quot;??_-;_-@_-"/>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0.0"/>
    <numFmt numFmtId="201" formatCode="0.0%"/>
    <numFmt numFmtId="202" formatCode="_(* #,##0.000_);_(* \(#,##0.000\);_(* &quot;-&quot;??_);_(@_)"/>
    <numFmt numFmtId="203" formatCode="_(* #,##0_);_(* \(#,##0\);_(* &quot;-&quot;??_);_(@_)"/>
    <numFmt numFmtId="204" formatCode="_-[$$-240A]\ * #,##0.00_-;\-[$$-240A]\ * #,##0.00_-;_-[$$-240A]\ * &quot;-&quot;??_-;_-@_-"/>
    <numFmt numFmtId="205" formatCode="&quot;$&quot;#,##0.00;[Red]\-&quot;$&quot;#,##0.00"/>
    <numFmt numFmtId="206" formatCode="_(* #,##0.0_);_(* \(#,##0.0\);_(* &quot;-&quot;??_);_(@_)"/>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2"/>
      <color theme="1"/>
      <name val="Swis721 LtCn BT"/>
      <family val="2"/>
    </font>
    <font>
      <sz val="12"/>
      <color theme="1"/>
      <name val="Swis721 LtCn BT"/>
      <family val="2"/>
    </font>
    <font>
      <sz val="12"/>
      <name val="Swis721 LtCn BT"/>
      <family val="2"/>
    </font>
    <font>
      <b/>
      <sz val="12"/>
      <name val="Swis721 LtCn BT"/>
      <family val="2"/>
    </font>
    <font>
      <b/>
      <sz val="11"/>
      <color theme="1"/>
      <name val="Calibri"/>
      <family val="2"/>
      <scheme val="minor"/>
    </font>
    <font>
      <sz val="11"/>
      <color theme="1"/>
      <name val="Swis721 LtCn BT"/>
      <family val="2"/>
    </font>
    <font>
      <b/>
      <sz val="12"/>
      <color theme="0"/>
      <name val="Swis721 LtCn BT"/>
      <family val="2"/>
    </font>
    <font>
      <sz val="11"/>
      <color rgb="FF000000"/>
      <name val="Swis721 LtCn BT"/>
      <family val="2"/>
    </font>
    <font>
      <b/>
      <sz val="11"/>
      <color theme="1"/>
      <name val="Swis721 LtCn BT"/>
      <family val="2"/>
    </font>
    <font>
      <sz val="11"/>
      <color theme="1"/>
      <name val="Century Gothic"/>
      <family val="2"/>
    </font>
    <font>
      <b/>
      <sz val="10"/>
      <name val="Arial"/>
      <family val="2"/>
    </font>
    <font>
      <u/>
      <sz val="10"/>
      <color theme="10"/>
      <name val="Arial"/>
      <family val="2"/>
    </font>
    <font>
      <u/>
      <sz val="11"/>
      <color rgb="FF0000FF"/>
      <name val="Swis721 LtCn BT"/>
      <family val="2"/>
    </font>
    <font>
      <sz val="11"/>
      <name val="Swis721 LtCn BT"/>
      <family val="2"/>
    </font>
    <font>
      <b/>
      <sz val="11"/>
      <color rgb="FF000000"/>
      <name val="Swis721 LtCn BT"/>
      <family val="2"/>
    </font>
    <font>
      <b/>
      <sz val="11"/>
      <color rgb="FFFF0000"/>
      <name val="Arial"/>
      <family val="2"/>
    </font>
    <font>
      <sz val="11"/>
      <name val="Arial"/>
      <family val="2"/>
    </font>
    <font>
      <sz val="10"/>
      <name val="Arial"/>
      <family val="2"/>
    </font>
    <font>
      <sz val="11"/>
      <color theme="1"/>
      <name val="Times New Roman"/>
      <family val="1"/>
    </font>
    <font>
      <sz val="11"/>
      <color theme="1"/>
      <name val="Swis721 Cn BT"/>
      <family val="2"/>
    </font>
    <font>
      <b/>
      <sz val="10"/>
      <name val="Swis721 LtCn BT"/>
      <family val="2"/>
    </font>
    <font>
      <sz val="10"/>
      <name val="Swis721 LtCn BT"/>
      <family val="2"/>
    </font>
    <font>
      <b/>
      <u/>
      <sz val="11"/>
      <color theme="1"/>
      <name val="Century Gothic"/>
      <family val="2"/>
    </font>
    <font>
      <sz val="11"/>
      <name val="Century Gothic"/>
      <family val="2"/>
    </font>
    <font>
      <b/>
      <sz val="11"/>
      <name val="Century Gothic"/>
      <family val="2"/>
    </font>
    <font>
      <sz val="12"/>
      <color rgb="FF000000"/>
      <name val="Swis721 LtCn BT"/>
      <family val="2"/>
    </font>
    <font>
      <b/>
      <sz val="11"/>
      <color theme="0"/>
      <name val="Swis721 LtCn BT"/>
      <family val="2"/>
    </font>
    <font>
      <sz val="11"/>
      <color indexed="8"/>
      <name val="Swis721 LtCn BT"/>
      <family val="2"/>
    </font>
    <font>
      <b/>
      <sz val="14"/>
      <name val="Swis721 LtCn BT"/>
      <family val="2"/>
    </font>
    <font>
      <b/>
      <sz val="18"/>
      <name val="Swis721 LtCn BT"/>
      <family val="2"/>
    </font>
    <font>
      <b/>
      <sz val="26"/>
      <name val="Swis721 LtCn BT"/>
      <family val="2"/>
    </font>
    <font>
      <sz val="12"/>
      <color rgb="FFC00000"/>
      <name val="Swis721 LtCn BT"/>
      <family val="2"/>
    </font>
    <font>
      <b/>
      <sz val="26"/>
      <color rgb="FFFF0000"/>
      <name val="Swis721 LtCn BT"/>
      <family val="2"/>
    </font>
    <font>
      <sz val="14"/>
      <name val="Swis721 LtCn BT"/>
      <family val="2"/>
    </font>
    <font>
      <sz val="18"/>
      <name val="Swis721 LtCn BT"/>
      <family val="2"/>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2F1F0"/>
        <bgColor rgb="FFF2F1F0"/>
      </patternFill>
    </fill>
    <fill>
      <patternFill patternType="solid">
        <fgColor rgb="FFF2F1F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00B0F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3" tint="0.39997558519241921"/>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4" tint="0.79998168889431442"/>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bottom style="thin">
        <color indexed="64"/>
      </bottom>
      <diagonal/>
    </border>
    <border>
      <left/>
      <right/>
      <top style="medium">
        <color indexed="64"/>
      </top>
      <bottom/>
      <diagonal/>
    </border>
    <border>
      <left/>
      <right/>
      <top style="double">
        <color auto="1"/>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double">
        <color indexed="64"/>
      </right>
      <top style="double">
        <color indexed="64"/>
      </top>
      <bottom/>
      <diagonal/>
    </border>
    <border>
      <left/>
      <right style="double">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bottom style="medium">
        <color indexed="64"/>
      </bottom>
      <diagonal/>
    </border>
    <border>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right style="double">
        <color indexed="64"/>
      </right>
      <top/>
      <bottom style="thin">
        <color indexed="64"/>
      </bottom>
      <diagonal/>
    </border>
    <border>
      <left style="thin">
        <color indexed="64"/>
      </left>
      <right style="double">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top style="thin">
        <color auto="1"/>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auto="1"/>
      </top>
      <bottom style="thin">
        <color auto="1"/>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double">
        <color indexed="64"/>
      </left>
      <right style="medium">
        <color indexed="64"/>
      </right>
      <top style="thin">
        <color indexed="64"/>
      </top>
      <bottom/>
      <diagonal/>
    </border>
    <border>
      <left style="thin">
        <color indexed="64"/>
      </left>
      <right style="double">
        <color indexed="64"/>
      </right>
      <top/>
      <bottom/>
      <diagonal/>
    </border>
    <border>
      <left style="double">
        <color indexed="64"/>
      </left>
      <right style="thin">
        <color indexed="64"/>
      </right>
      <top style="thin">
        <color indexed="64"/>
      </top>
      <bottom style="medium">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style="medium">
        <color indexed="64"/>
      </top>
      <bottom/>
      <diagonal/>
    </border>
  </borders>
  <cellStyleXfs count="343">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0"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64" fontId="10" fillId="0" borderId="0" applyFont="0" applyFill="0" applyBorder="0" applyAlignment="0" applyProtection="0"/>
    <xf numFmtId="173" fontId="7" fillId="0" borderId="0" applyFont="0" applyFill="0" applyBorder="0" applyAlignment="0" applyProtection="0"/>
    <xf numFmtId="164" fontId="7" fillId="0" borderId="0" applyFont="0" applyFill="0" applyBorder="0" applyAlignment="0" applyProtection="0"/>
    <xf numFmtId="164"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168" fontId="10" fillId="0" borderId="0" applyFont="0" applyFill="0" applyBorder="0" applyAlignment="0" applyProtection="0"/>
    <xf numFmtId="169" fontId="7" fillId="0" borderId="0" applyFont="0" applyFill="0" applyBorder="0" applyAlignment="0" applyProtection="0"/>
    <xf numFmtId="176" fontId="7" fillId="0" borderId="0" applyFont="0" applyFill="0" applyBorder="0" applyAlignment="0" applyProtection="0"/>
    <xf numFmtId="166" fontId="7" fillId="0" borderId="0" applyFont="0" applyFill="0" applyBorder="0" applyAlignment="0" applyProtection="0"/>
    <xf numFmtId="17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4" fontId="8" fillId="0" borderId="38">
      <alignment horizontal="right"/>
    </xf>
    <xf numFmtId="184" fontId="8" fillId="0" borderId="38">
      <alignment horizontal="right"/>
    </xf>
    <xf numFmtId="2" fontId="8" fillId="0" borderId="0"/>
    <xf numFmtId="2" fontId="8" fillId="0" borderId="0"/>
    <xf numFmtId="2" fontId="8" fillId="0" borderId="0"/>
    <xf numFmtId="185" fontId="8" fillId="0" borderId="0"/>
    <xf numFmtId="185" fontId="8" fillId="0" borderId="0"/>
    <xf numFmtId="185" fontId="8" fillId="0" borderId="0"/>
    <xf numFmtId="186" fontId="9" fillId="0" borderId="0"/>
    <xf numFmtId="186" fontId="9" fillId="0" borderId="0"/>
    <xf numFmtId="186" fontId="9" fillId="0" borderId="0"/>
    <xf numFmtId="184" fontId="8" fillId="0" borderId="38">
      <alignment horizontal="right"/>
    </xf>
    <xf numFmtId="187" fontId="6" fillId="0" borderId="0">
      <protection locked="0"/>
    </xf>
    <xf numFmtId="3" fontId="31" fillId="0" borderId="0" applyFont="0" applyFill="0" applyBorder="0" applyAlignment="0" applyProtection="0"/>
    <xf numFmtId="188" fontId="6" fillId="0" borderId="0">
      <protection locked="0"/>
    </xf>
    <xf numFmtId="189" fontId="31" fillId="0" borderId="0" applyFont="0" applyFill="0" applyBorder="0" applyAlignment="0" applyProtection="0"/>
    <xf numFmtId="190"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1" fontId="32" fillId="0" borderId="0">
      <protection locked="0"/>
    </xf>
    <xf numFmtId="191" fontId="32" fillId="0" borderId="0">
      <protection locked="0"/>
    </xf>
    <xf numFmtId="191" fontId="32" fillId="0" borderId="0">
      <protection locked="0"/>
    </xf>
    <xf numFmtId="191" fontId="32" fillId="0" borderId="0">
      <protection locked="0"/>
    </xf>
    <xf numFmtId="191" fontId="32" fillId="0" borderId="0">
      <protection locked="0"/>
    </xf>
    <xf numFmtId="191" fontId="32" fillId="0" borderId="0">
      <protection locked="0"/>
    </xf>
    <xf numFmtId="191" fontId="32" fillId="0" borderId="0">
      <protection locked="0"/>
    </xf>
    <xf numFmtId="192" fontId="6"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3" fontId="6" fillId="0" borderId="0">
      <protection locked="0"/>
    </xf>
    <xf numFmtId="193" fontId="6" fillId="0" borderId="0">
      <protection locked="0"/>
    </xf>
    <xf numFmtId="0" fontId="18" fillId="3" borderId="0" applyNumberFormat="0" applyBorder="0" applyAlignment="0" applyProtection="0"/>
    <xf numFmtId="194" fontId="8" fillId="0" borderId="0">
      <alignment horizontal="right"/>
    </xf>
    <xf numFmtId="194" fontId="8" fillId="0" borderId="0">
      <alignment horizontal="right"/>
    </xf>
    <xf numFmtId="194" fontId="8" fillId="0" borderId="0">
      <alignment horizontal="right"/>
    </xf>
    <xf numFmtId="195" fontId="8" fillId="0" borderId="0" applyFont="0" applyFill="0" applyBorder="0" applyAlignment="0">
      <alignment horizontal="center"/>
    </xf>
    <xf numFmtId="195" fontId="8" fillId="0" borderId="0" applyFont="0" applyFill="0" applyBorder="0" applyAlignment="0">
      <alignment horizontal="center"/>
    </xf>
    <xf numFmtId="2" fontId="8" fillId="0" borderId="4" applyFont="0" applyBorder="0"/>
    <xf numFmtId="164" fontId="10" fillId="0" borderId="0" applyFont="0" applyFill="0" applyBorder="0" applyAlignment="0" applyProtection="0"/>
    <xf numFmtId="172" fontId="6" fillId="0" borderId="0" applyFont="0" applyFill="0" applyBorder="0" applyAlignment="0" applyProtection="0"/>
    <xf numFmtId="164" fontId="6"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196" fontId="8" fillId="0" borderId="0">
      <alignment horizontal="right"/>
    </xf>
    <xf numFmtId="196" fontId="8" fillId="0" borderId="0">
      <alignment horizontal="right"/>
    </xf>
    <xf numFmtId="196" fontId="8" fillId="0" borderId="0">
      <alignment horizontal="right"/>
    </xf>
    <xf numFmtId="197" fontId="6" fillId="0" borderId="0" applyFont="0" applyFill="0" applyBorder="0" applyAlignment="0" applyProtection="0"/>
    <xf numFmtId="197"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89" fontId="36" fillId="0" borderId="0" applyFont="0" applyFill="0" applyBorder="0" applyAlignment="0" applyProtection="0"/>
    <xf numFmtId="0" fontId="19" fillId="22" borderId="0" applyNumberFormat="0" applyBorder="0" applyAlignment="0" applyProtection="0"/>
    <xf numFmtId="198" fontId="8" fillId="0" borderId="0" applyFont="0" applyFill="0" applyBorder="0" applyAlignment="0">
      <alignment horizontal="center"/>
    </xf>
    <xf numFmtId="198" fontId="8" fillId="0" borderId="0" applyFont="0" applyFill="0" applyBorder="0" applyAlignment="0">
      <alignment horizontal="center"/>
    </xf>
    <xf numFmtId="0" fontId="6" fillId="0" borderId="0"/>
    <xf numFmtId="0" fontId="6" fillId="0" borderId="0"/>
    <xf numFmtId="0" fontId="35" fillId="0" borderId="0"/>
    <xf numFmtId="0" fontId="3" fillId="0" borderId="0"/>
    <xf numFmtId="0" fontId="35" fillId="0" borderId="0"/>
    <xf numFmtId="0" fontId="6" fillId="0" borderId="0"/>
    <xf numFmtId="0" fontId="6" fillId="0" borderId="0"/>
    <xf numFmtId="0" fontId="6" fillId="0" borderId="0"/>
    <xf numFmtId="0" fontId="6" fillId="0" borderId="0"/>
    <xf numFmtId="0" fontId="37" fillId="0" borderId="0"/>
    <xf numFmtId="0" fontId="6" fillId="0" borderId="0"/>
    <xf numFmtId="0" fontId="6" fillId="23" borderId="5" applyNumberFormat="0" applyFont="0" applyAlignment="0" applyProtection="0"/>
    <xf numFmtId="199"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5" fillId="0" borderId="0" applyFont="0" applyFill="0" applyBorder="0" applyAlignment="0" applyProtection="0"/>
    <xf numFmtId="0" fontId="38"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3" fontId="6" fillId="0" borderId="43">
      <protection locked="0"/>
    </xf>
    <xf numFmtId="0" fontId="50" fillId="0" borderId="0" applyNumberFormat="0" applyFill="0" applyBorder="0" applyAlignment="0" applyProtection="0"/>
    <xf numFmtId="44" fontId="56" fillId="0" borderId="0" applyFont="0" applyFill="0" applyBorder="0" applyAlignment="0" applyProtection="0"/>
    <xf numFmtId="0" fontId="2" fillId="0" borderId="0"/>
    <xf numFmtId="0" fontId="13" fillId="16" borderId="52" applyNumberFormat="0" applyAlignment="0" applyProtection="0"/>
    <xf numFmtId="0" fontId="17" fillId="7" borderId="52" applyNumberFormat="0" applyAlignment="0" applyProtection="0"/>
    <xf numFmtId="18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43"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43" fontId="10" fillId="0" borderId="0" applyFont="0" applyFill="0" applyBorder="0" applyAlignment="0" applyProtection="0"/>
    <xf numFmtId="17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9"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6" fillId="23" borderId="53" applyNumberFormat="0" applyFont="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20" fillId="16" borderId="54" applyNumberFormat="0" applyAlignment="0" applyProtection="0"/>
    <xf numFmtId="0" fontId="26" fillId="0" borderId="55" applyNumberFormat="0" applyFill="0" applyAlignment="0" applyProtection="0"/>
    <xf numFmtId="0" fontId="26" fillId="0" borderId="55" applyNumberFormat="0" applyFill="0" applyAlignment="0" applyProtection="0"/>
    <xf numFmtId="172"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3" fillId="16" borderId="52" applyNumberFormat="0" applyAlignment="0" applyProtection="0"/>
    <xf numFmtId="0" fontId="17" fillId="7" borderId="52" applyNumberFormat="0" applyAlignment="0" applyProtection="0"/>
    <xf numFmtId="43" fontId="10"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1" fillId="0" borderId="0"/>
    <xf numFmtId="0" fontId="6" fillId="23" borderId="53" applyNumberFormat="0" applyFont="0" applyAlignment="0" applyProtection="0"/>
    <xf numFmtId="0" fontId="20" fillId="16" borderId="54" applyNumberFormat="0" applyAlignment="0" applyProtection="0"/>
    <xf numFmtId="44" fontId="6" fillId="0" borderId="0" applyFont="0" applyFill="0" applyBorder="0" applyAlignment="0" applyProtection="0"/>
    <xf numFmtId="44" fontId="6" fillId="0" borderId="0" applyFont="0" applyFill="0" applyBorder="0" applyAlignment="0" applyProtection="0"/>
  </cellStyleXfs>
  <cellXfs count="1065">
    <xf numFmtId="0" fontId="0" fillId="0" borderId="0" xfId="0"/>
    <xf numFmtId="0" fontId="40" fillId="0" borderId="16" xfId="0" applyFont="1" applyBorder="1" applyAlignment="1">
      <alignment horizontal="left"/>
    </xf>
    <xf numFmtId="2" fontId="40" fillId="0" borderId="16" xfId="0" applyNumberFormat="1" applyFont="1" applyBorder="1"/>
    <xf numFmtId="2" fontId="40" fillId="0" borderId="16" xfId="0" applyNumberFormat="1" applyFont="1" applyBorder="1" applyAlignment="1">
      <alignment horizontal="center"/>
    </xf>
    <xf numFmtId="0" fontId="40" fillId="25" borderId="16" xfId="0" applyFont="1" applyFill="1" applyBorder="1" applyAlignment="1">
      <alignment horizontal="left"/>
    </xf>
    <xf numFmtId="0" fontId="42" fillId="0" borderId="16" xfId="0" applyFont="1" applyBorder="1" applyAlignment="1" applyProtection="1">
      <alignment horizontal="center" vertical="center" wrapText="1"/>
      <protection locked="0"/>
    </xf>
    <xf numFmtId="0" fontId="43" fillId="0" borderId="0" xfId="0" applyFont="1"/>
    <xf numFmtId="0" fontId="42" fillId="27" borderId="16" xfId="0" applyFont="1" applyFill="1" applyBorder="1" applyAlignment="1" applyProtection="1">
      <alignment horizontal="center" vertical="center" wrapText="1"/>
      <protection locked="0"/>
    </xf>
    <xf numFmtId="2" fontId="42" fillId="27" borderId="16" xfId="0" applyNumberFormat="1" applyFont="1" applyFill="1" applyBorder="1" applyAlignment="1" applyProtection="1">
      <alignment horizontal="center" vertical="center" wrapText="1"/>
      <protection locked="0"/>
    </xf>
    <xf numFmtId="0" fontId="42" fillId="27" borderId="16" xfId="0" applyFont="1" applyFill="1" applyBorder="1" applyAlignment="1" applyProtection="1">
      <alignment horizontal="centerContinuous" vertical="center" wrapText="1"/>
      <protection locked="0"/>
    </xf>
    <xf numFmtId="0" fontId="39" fillId="27" borderId="16" xfId="0" applyFont="1" applyFill="1" applyBorder="1" applyAlignment="1">
      <alignment horizontal="centerContinuous"/>
    </xf>
    <xf numFmtId="0" fontId="42" fillId="28" borderId="16" xfId="0" applyFont="1" applyFill="1" applyBorder="1" applyAlignment="1" applyProtection="1">
      <alignment horizontal="center" vertical="center" wrapText="1"/>
      <protection locked="0"/>
    </xf>
    <xf numFmtId="0" fontId="42" fillId="28" borderId="16" xfId="0" applyFont="1" applyFill="1" applyBorder="1" applyAlignment="1" applyProtection="1">
      <alignment horizontal="centerContinuous" vertical="center" wrapText="1"/>
      <protection locked="0"/>
    </xf>
    <xf numFmtId="0" fontId="40" fillId="28" borderId="16" xfId="0" applyFont="1" applyFill="1" applyBorder="1" applyAlignment="1">
      <alignment horizontal="centerContinuous"/>
    </xf>
    <xf numFmtId="0" fontId="39" fillId="28" borderId="16" xfId="0" applyFont="1" applyFill="1" applyBorder="1" applyAlignment="1">
      <alignment horizontal="center" vertical="center"/>
    </xf>
    <xf numFmtId="0" fontId="41" fillId="0" borderId="16" xfId="0" applyFont="1" applyBorder="1" applyAlignment="1" applyProtection="1">
      <alignment vertical="center" wrapText="1"/>
      <protection locked="0"/>
    </xf>
    <xf numFmtId="0" fontId="41" fillId="25" borderId="16" xfId="0" applyFont="1" applyFill="1" applyBorder="1" applyAlignment="1" applyProtection="1">
      <alignment vertical="center" wrapText="1"/>
      <protection locked="0"/>
    </xf>
    <xf numFmtId="0" fontId="40" fillId="0" borderId="16" xfId="0" applyFont="1" applyBorder="1"/>
    <xf numFmtId="0" fontId="42" fillId="0" borderId="16" xfId="0" applyFont="1" applyBorder="1" applyAlignment="1">
      <alignment horizontal="center" vertical="center" wrapText="1"/>
    </xf>
    <xf numFmtId="172" fontId="41" fillId="0" borderId="16" xfId="36" applyFont="1" applyFill="1" applyBorder="1" applyAlignment="1" applyProtection="1">
      <alignment horizontal="center" vertical="center" wrapText="1"/>
      <protection locked="0"/>
    </xf>
    <xf numFmtId="172" fontId="41" fillId="0" borderId="16" xfId="36" applyFont="1" applyFill="1" applyBorder="1" applyAlignment="1" applyProtection="1">
      <alignment vertical="center" wrapText="1"/>
      <protection locked="0"/>
    </xf>
    <xf numFmtId="201" fontId="41" fillId="0" borderId="16" xfId="36" applyNumberFormat="1" applyFont="1" applyFill="1" applyBorder="1" applyAlignment="1" applyProtection="1">
      <alignment vertical="center" wrapText="1"/>
      <protection locked="0"/>
    </xf>
    <xf numFmtId="0" fontId="40" fillId="0" borderId="16" xfId="0" applyFont="1" applyBorder="1" applyAlignment="1">
      <alignment horizontal="centerContinuous"/>
    </xf>
    <xf numFmtId="2" fontId="41" fillId="0" borderId="16" xfId="36" applyNumberFormat="1" applyFont="1" applyFill="1" applyBorder="1" applyAlignment="1" applyProtection="1">
      <alignment vertical="center" wrapText="1"/>
      <protection locked="0"/>
    </xf>
    <xf numFmtId="172" fontId="41" fillId="0" borderId="16" xfId="36" applyFont="1" applyFill="1" applyBorder="1" applyAlignment="1" applyProtection="1">
      <alignment horizontal="centerContinuous" vertical="center" wrapText="1"/>
      <protection locked="0"/>
    </xf>
    <xf numFmtId="200" fontId="42" fillId="27" borderId="16" xfId="0" applyNumberFormat="1" applyFont="1" applyFill="1" applyBorder="1" applyAlignment="1" applyProtection="1">
      <alignment horizontal="center" vertical="center" wrapText="1"/>
      <protection locked="0"/>
    </xf>
    <xf numFmtId="200" fontId="42" fillId="28" borderId="16" xfId="0" applyNumberFormat="1" applyFont="1" applyFill="1" applyBorder="1" applyAlignment="1" applyProtection="1">
      <alignment horizontal="center" vertical="center" wrapText="1"/>
      <protection locked="0"/>
    </xf>
    <xf numFmtId="0" fontId="39" fillId="27" borderId="16" xfId="0" applyFont="1" applyFill="1" applyBorder="1" applyAlignment="1">
      <alignment horizontal="center"/>
    </xf>
    <xf numFmtId="0" fontId="40" fillId="0" borderId="16" xfId="0" applyFont="1" applyBorder="1" applyAlignment="1">
      <alignment horizontal="center"/>
    </xf>
    <xf numFmtId="2" fontId="42" fillId="28" borderId="16" xfId="0" applyNumberFormat="1" applyFont="1" applyFill="1" applyBorder="1" applyAlignment="1" applyProtection="1">
      <alignment horizontal="center" vertical="center" wrapText="1"/>
      <protection locked="0"/>
    </xf>
    <xf numFmtId="0" fontId="41" fillId="0" borderId="16" xfId="0" applyFont="1" applyBorder="1" applyAlignment="1" applyProtection="1">
      <alignment horizontal="center" vertical="center" wrapText="1"/>
      <protection locked="0"/>
    </xf>
    <xf numFmtId="0" fontId="46" fillId="29" borderId="16" xfId="0" applyFont="1" applyFill="1" applyBorder="1" applyAlignment="1">
      <alignment horizontal="center" vertical="center"/>
    </xf>
    <xf numFmtId="0" fontId="46" fillId="30" borderId="16" xfId="0" applyFont="1" applyFill="1" applyBorder="1" applyAlignment="1">
      <alignment horizontal="center" vertical="center"/>
    </xf>
    <xf numFmtId="2" fontId="44" fillId="0" borderId="16" xfId="0" applyNumberFormat="1" applyFont="1" applyBorder="1" applyAlignment="1">
      <alignment horizontal="center" vertical="center"/>
    </xf>
    <xf numFmtId="0" fontId="44" fillId="0" borderId="16" xfId="0" applyFont="1" applyBorder="1" applyAlignment="1">
      <alignment horizontal="center" vertical="center"/>
    </xf>
    <xf numFmtId="0" fontId="44" fillId="0" borderId="16" xfId="0" applyFont="1" applyBorder="1" applyAlignment="1">
      <alignment horizontal="center" vertical="center" wrapText="1"/>
    </xf>
    <xf numFmtId="2" fontId="44" fillId="0" borderId="16" xfId="0" applyNumberFormat="1" applyFont="1" applyBorder="1" applyAlignment="1">
      <alignment horizontal="center" vertical="center" wrapText="1"/>
    </xf>
    <xf numFmtId="0" fontId="44" fillId="0" borderId="16" xfId="0" applyFont="1" applyBorder="1"/>
    <xf numFmtId="0" fontId="40" fillId="26" borderId="16" xfId="0" applyFont="1" applyFill="1" applyBorder="1" applyAlignment="1">
      <alignment horizontal="center"/>
    </xf>
    <xf numFmtId="0" fontId="0" fillId="0" borderId="16" xfId="0" applyBorder="1"/>
    <xf numFmtId="0" fontId="41" fillId="0" borderId="16" xfId="0" applyFont="1" applyBorder="1" applyAlignment="1" applyProtection="1">
      <alignment horizontal="left" vertical="center" wrapText="1"/>
      <protection locked="0"/>
    </xf>
    <xf numFmtId="0" fontId="48" fillId="0" borderId="16" xfId="0" applyFont="1" applyBorder="1" applyAlignment="1">
      <alignment horizontal="center"/>
    </xf>
    <xf numFmtId="2" fontId="48" fillId="0" borderId="16" xfId="0" applyNumberFormat="1" applyFont="1" applyBorder="1" applyAlignment="1">
      <alignment horizontal="center" vertical="center"/>
    </xf>
    <xf numFmtId="0" fontId="48" fillId="0" borderId="16" xfId="0" applyFont="1" applyBorder="1" applyAlignment="1">
      <alignment horizontal="center" vertical="center"/>
    </xf>
    <xf numFmtId="0" fontId="48" fillId="0" borderId="16" xfId="0" applyFont="1" applyBorder="1" applyAlignment="1">
      <alignment horizontal="center" vertical="center" wrapText="1"/>
    </xf>
    <xf numFmtId="2" fontId="41" fillId="0" borderId="16" xfId="0" applyNumberFormat="1" applyFont="1" applyBorder="1" applyAlignment="1">
      <alignment horizontal="center" vertical="center" wrapText="1"/>
    </xf>
    <xf numFmtId="2" fontId="48" fillId="0" borderId="16" xfId="0" applyNumberFormat="1" applyFont="1" applyBorder="1" applyAlignment="1">
      <alignment horizontal="center"/>
    </xf>
    <xf numFmtId="2" fontId="41" fillId="0" borderId="16" xfId="36" applyNumberFormat="1" applyFont="1" applyFill="1" applyBorder="1" applyAlignment="1" applyProtection="1">
      <alignment horizontal="center" vertical="center" wrapText="1"/>
      <protection locked="0"/>
    </xf>
    <xf numFmtId="0" fontId="41" fillId="0" borderId="16" xfId="0" applyFont="1" applyBorder="1" applyAlignment="1">
      <alignment horizontal="center" vertical="center" wrapText="1"/>
    </xf>
    <xf numFmtId="2" fontId="48" fillId="0" borderId="16" xfId="0" applyNumberFormat="1" applyFont="1" applyBorder="1" applyAlignment="1">
      <alignment horizontal="center" vertical="center" wrapText="1"/>
    </xf>
    <xf numFmtId="0" fontId="42" fillId="0" borderId="19" xfId="0" applyFont="1" applyBorder="1" applyAlignment="1">
      <alignment horizontal="center" vertical="center" wrapText="1"/>
    </xf>
    <xf numFmtId="2" fontId="41" fillId="0" borderId="19" xfId="0" applyNumberFormat="1" applyFont="1" applyBorder="1" applyAlignment="1">
      <alignment horizontal="center" vertical="center" wrapText="1"/>
    </xf>
    <xf numFmtId="0" fontId="42" fillId="0" borderId="19" xfId="0" applyFont="1" applyBorder="1" applyAlignment="1" applyProtection="1">
      <alignment horizontal="center" vertical="center" wrapText="1"/>
      <protection locked="0"/>
    </xf>
    <xf numFmtId="0" fontId="48" fillId="0" borderId="19" xfId="0" applyFont="1" applyBorder="1" applyAlignment="1">
      <alignment horizontal="center"/>
    </xf>
    <xf numFmtId="2" fontId="48" fillId="0" borderId="19" xfId="0" applyNumberFormat="1" applyFont="1" applyBorder="1" applyAlignment="1">
      <alignment horizontal="center"/>
    </xf>
    <xf numFmtId="0" fontId="44" fillId="0" borderId="16" xfId="0" applyFont="1" applyBorder="1" applyAlignment="1">
      <alignment horizontal="center"/>
    </xf>
    <xf numFmtId="2" fontId="44" fillId="0" borderId="16" xfId="0" applyNumberFormat="1" applyFont="1" applyBorder="1" applyAlignment="1">
      <alignment horizontal="center"/>
    </xf>
    <xf numFmtId="202" fontId="41" fillId="0" borderId="16" xfId="36" applyNumberFormat="1" applyFont="1" applyFill="1" applyBorder="1" applyAlignment="1" applyProtection="1">
      <alignment horizontal="center" vertical="center" wrapText="1"/>
      <protection locked="0"/>
    </xf>
    <xf numFmtId="2" fontId="0" fillId="0" borderId="0" xfId="0" applyNumberFormat="1"/>
    <xf numFmtId="0" fontId="41" fillId="0" borderId="19" xfId="0" applyFont="1" applyBorder="1" applyAlignment="1">
      <alignment horizontal="center" vertical="center" wrapText="1"/>
    </xf>
    <xf numFmtId="2" fontId="41" fillId="31" borderId="16" xfId="36" applyNumberFormat="1" applyFont="1" applyFill="1" applyBorder="1" applyAlignment="1" applyProtection="1">
      <alignment horizontal="center" vertical="center" wrapText="1"/>
      <protection locked="0"/>
    </xf>
    <xf numFmtId="172" fontId="41" fillId="0" borderId="19" xfId="36" applyFont="1" applyFill="1" applyBorder="1" applyAlignment="1" applyProtection="1">
      <alignment horizontal="center" vertical="center" wrapText="1"/>
      <protection locked="0"/>
    </xf>
    <xf numFmtId="0" fontId="0" fillId="0" borderId="19" xfId="0" applyBorder="1"/>
    <xf numFmtId="202" fontId="41" fillId="0" borderId="19" xfId="36" applyNumberFormat="1" applyFont="1" applyFill="1" applyBorder="1" applyAlignment="1" applyProtection="1">
      <alignment horizontal="center" vertical="center" wrapText="1"/>
      <protection locked="0"/>
    </xf>
    <xf numFmtId="201" fontId="41" fillId="0" borderId="19" xfId="36" applyNumberFormat="1" applyFont="1" applyFill="1" applyBorder="1" applyAlignment="1" applyProtection="1">
      <alignment vertical="center" wrapText="1"/>
      <protection locked="0"/>
    </xf>
    <xf numFmtId="2" fontId="41" fillId="0" borderId="19" xfId="36" applyNumberFormat="1" applyFont="1" applyFill="1" applyBorder="1" applyAlignment="1" applyProtection="1">
      <alignment horizontal="center" vertical="center" wrapText="1"/>
      <protection locked="0"/>
    </xf>
    <xf numFmtId="2" fontId="44" fillId="0" borderId="19" xfId="0" applyNumberFormat="1" applyFont="1" applyBorder="1" applyAlignment="1">
      <alignment horizontal="center"/>
    </xf>
    <xf numFmtId="49" fontId="42" fillId="28" borderId="16" xfId="0" applyNumberFormat="1" applyFont="1" applyFill="1" applyBorder="1" applyAlignment="1" applyProtection="1">
      <alignment horizontal="center" vertical="center" wrapText="1"/>
      <protection locked="0"/>
    </xf>
    <xf numFmtId="10" fontId="41" fillId="0" borderId="16" xfId="36" applyNumberFormat="1" applyFont="1" applyFill="1" applyBorder="1" applyAlignment="1" applyProtection="1">
      <alignment vertical="center" wrapText="1"/>
      <protection locked="0"/>
    </xf>
    <xf numFmtId="203" fontId="41" fillId="0" borderId="16" xfId="36" applyNumberFormat="1" applyFont="1" applyFill="1" applyBorder="1" applyAlignment="1" applyProtection="1">
      <alignment horizontal="center" vertical="center" wrapText="1"/>
      <protection locked="0"/>
    </xf>
    <xf numFmtId="0" fontId="0" fillId="0" borderId="0" xfId="0" applyAlignment="1">
      <alignment wrapText="1"/>
    </xf>
    <xf numFmtId="0" fontId="0" fillId="31" borderId="0" xfId="0" applyFill="1"/>
    <xf numFmtId="172" fontId="41" fillId="31" borderId="16" xfId="36" applyFont="1" applyFill="1" applyBorder="1" applyAlignment="1" applyProtection="1">
      <alignment horizontal="center" vertical="center" wrapText="1"/>
      <protection locked="0"/>
    </xf>
    <xf numFmtId="172" fontId="41" fillId="26" borderId="16" xfId="36" applyFont="1" applyFill="1" applyBorder="1" applyAlignment="1" applyProtection="1">
      <alignment horizontal="center" vertical="center" wrapText="1"/>
      <protection locked="0"/>
    </xf>
    <xf numFmtId="2" fontId="42" fillId="26" borderId="16" xfId="0" applyNumberFormat="1" applyFont="1" applyFill="1" applyBorder="1" applyAlignment="1" applyProtection="1">
      <alignment horizontal="center" vertical="center" wrapText="1"/>
      <protection locked="0"/>
    </xf>
    <xf numFmtId="0" fontId="41" fillId="0" borderId="0" xfId="89" applyFont="1"/>
    <xf numFmtId="0" fontId="41" fillId="0" borderId="0" xfId="89" applyFont="1" applyAlignment="1">
      <alignment horizontal="center"/>
    </xf>
    <xf numFmtId="0" fontId="41" fillId="0" borderId="32" xfId="89" applyFont="1" applyBorder="1"/>
    <xf numFmtId="0" fontId="41" fillId="0" borderId="46" xfId="89" applyFont="1" applyBorder="1"/>
    <xf numFmtId="0" fontId="41" fillId="0" borderId="46" xfId="89" applyFont="1" applyBorder="1" applyAlignment="1">
      <alignment horizontal="center"/>
    </xf>
    <xf numFmtId="0" fontId="41" fillId="0" borderId="30" xfId="89" applyFont="1" applyBorder="1"/>
    <xf numFmtId="0" fontId="41" fillId="25" borderId="0" xfId="89" applyFont="1" applyFill="1"/>
    <xf numFmtId="0" fontId="41" fillId="0" borderId="0" xfId="90" applyFont="1"/>
    <xf numFmtId="0" fontId="41" fillId="0" borderId="30" xfId="90" applyFont="1" applyBorder="1"/>
    <xf numFmtId="0" fontId="41" fillId="0" borderId="41" xfId="73" applyFont="1" applyBorder="1" applyAlignment="1">
      <alignment horizontal="center" vertical="center"/>
    </xf>
    <xf numFmtId="0" fontId="41" fillId="0" borderId="16" xfId="74" applyFont="1" applyBorder="1" applyAlignment="1">
      <alignment horizontal="center" vertical="center"/>
    </xf>
    <xf numFmtId="0" fontId="41" fillId="0" borderId="16" xfId="74" applyFont="1" applyBorder="1" applyAlignment="1">
      <alignment horizontal="left" vertical="center" wrapText="1"/>
    </xf>
    <xf numFmtId="4" fontId="41" fillId="0" borderId="16" xfId="39" applyNumberFormat="1" applyFont="1" applyBorder="1" applyAlignment="1">
      <alignment vertical="center" wrapText="1"/>
    </xf>
    <xf numFmtId="167" fontId="41" fillId="0" borderId="16" xfId="62" applyNumberFormat="1" applyFont="1" applyBorder="1" applyAlignment="1">
      <alignment horizontal="right" vertical="center" wrapText="1"/>
    </xf>
    <xf numFmtId="167" fontId="41" fillId="0" borderId="37" xfId="62" applyNumberFormat="1" applyFont="1" applyBorder="1" applyAlignment="1">
      <alignment horizontal="right" vertical="center" wrapText="1"/>
    </xf>
    <xf numFmtId="2" fontId="41" fillId="0" borderId="41" xfId="73" applyNumberFormat="1" applyFont="1" applyBorder="1" applyAlignment="1">
      <alignment horizontal="center" vertical="center"/>
    </xf>
    <xf numFmtId="0" fontId="41" fillId="0" borderId="12" xfId="73" applyFont="1" applyBorder="1" applyAlignment="1">
      <alignment horizontal="left" vertical="center"/>
    </xf>
    <xf numFmtId="4" fontId="41" fillId="0" borderId="36" xfId="39" applyNumberFormat="1" applyFont="1" applyBorder="1" applyAlignment="1">
      <alignment vertical="center" wrapText="1"/>
    </xf>
    <xf numFmtId="167" fontId="41" fillId="0" borderId="18" xfId="62" applyNumberFormat="1" applyFont="1" applyBorder="1" applyAlignment="1">
      <alignment horizontal="right" vertical="center" wrapText="1"/>
    </xf>
    <xf numFmtId="0" fontId="41" fillId="0" borderId="16" xfId="74" applyFont="1" applyBorder="1" applyAlignment="1">
      <alignment horizontal="left" vertical="center"/>
    </xf>
    <xf numFmtId="0" fontId="41" fillId="0" borderId="16" xfId="135" applyFont="1" applyBorder="1" applyAlignment="1">
      <alignment horizontal="center" vertical="center"/>
    </xf>
    <xf numFmtId="0" fontId="41" fillId="0" borderId="16" xfId="135" applyFont="1" applyBorder="1" applyAlignment="1">
      <alignment horizontal="left" vertical="center"/>
    </xf>
    <xf numFmtId="0" fontId="41" fillId="0" borderId="16" xfId="73" applyFont="1" applyBorder="1" applyAlignment="1">
      <alignment horizontal="center" vertical="center"/>
    </xf>
    <xf numFmtId="0" fontId="41" fillId="0" borderId="16" xfId="73" applyFont="1" applyBorder="1" applyAlignment="1">
      <alignment horizontal="left" vertical="center" wrapText="1"/>
    </xf>
    <xf numFmtId="0" fontId="41" fillId="0" borderId="16" xfId="126" applyFont="1" applyBorder="1" applyAlignment="1">
      <alignment horizontal="center" vertical="center"/>
    </xf>
    <xf numFmtId="0" fontId="41" fillId="0" borderId="16" xfId="135" applyFont="1" applyBorder="1" applyAlignment="1">
      <alignment horizontal="left" vertical="center" wrapText="1"/>
    </xf>
    <xf numFmtId="167" fontId="41" fillId="0" borderId="16" xfId="62" quotePrefix="1" applyNumberFormat="1" applyFont="1" applyBorder="1" applyAlignment="1">
      <alignment horizontal="right" vertical="center" wrapText="1"/>
    </xf>
    <xf numFmtId="0" fontId="41" fillId="0" borderId="16" xfId="73" applyFont="1" applyBorder="1" applyAlignment="1">
      <alignment horizontal="center" vertical="center" wrapText="1"/>
    </xf>
    <xf numFmtId="0" fontId="41" fillId="0" borderId="40" xfId="73" applyFont="1" applyBorder="1" applyAlignment="1">
      <alignment horizontal="left" vertical="center"/>
    </xf>
    <xf numFmtId="167" fontId="41" fillId="0" borderId="36" xfId="62" applyNumberFormat="1" applyFont="1" applyBorder="1" applyAlignment="1">
      <alignment horizontal="right" vertical="center" wrapText="1"/>
    </xf>
    <xf numFmtId="175" fontId="42" fillId="0" borderId="39" xfId="39" applyNumberFormat="1" applyFont="1" applyBorder="1" applyAlignment="1">
      <alignment horizontal="right" vertical="center"/>
    </xf>
    <xf numFmtId="200" fontId="41" fillId="0" borderId="41" xfId="73" applyNumberFormat="1" applyFont="1" applyBorder="1" applyAlignment="1">
      <alignment horizontal="center" vertical="center"/>
    </xf>
    <xf numFmtId="2" fontId="41" fillId="0" borderId="13" xfId="73" applyNumberFormat="1" applyFont="1" applyBorder="1" applyAlignment="1">
      <alignment horizontal="center" vertical="center"/>
    </xf>
    <xf numFmtId="0" fontId="41" fillId="0" borderId="13" xfId="73" applyFont="1" applyBorder="1" applyAlignment="1">
      <alignment horizontal="center" vertical="center"/>
    </xf>
    <xf numFmtId="0" fontId="41" fillId="0" borderId="13" xfId="73" applyFont="1" applyBorder="1" applyAlignment="1">
      <alignment horizontal="left" vertical="center" wrapText="1"/>
    </xf>
    <xf numFmtId="183" fontId="42" fillId="24" borderId="35" xfId="73" applyNumberFormat="1" applyFont="1" applyFill="1" applyBorder="1" applyAlignment="1">
      <alignment vertical="center"/>
    </xf>
    <xf numFmtId="179" fontId="41" fillId="0" borderId="24" xfId="129" applyNumberFormat="1" applyFont="1" applyBorder="1" applyAlignment="1">
      <alignment vertical="center"/>
    </xf>
    <xf numFmtId="175" fontId="41" fillId="0" borderId="0" xfId="89" applyNumberFormat="1" applyFont="1"/>
    <xf numFmtId="4" fontId="41" fillId="0" borderId="16" xfId="39" applyNumberFormat="1" applyFont="1" applyFill="1" applyBorder="1" applyAlignment="1">
      <alignment vertical="center" wrapText="1"/>
    </xf>
    <xf numFmtId="167" fontId="41" fillId="0" borderId="16" xfId="62" applyNumberFormat="1" applyFont="1" applyFill="1" applyBorder="1" applyAlignment="1">
      <alignment horizontal="right" vertical="center" wrapText="1"/>
    </xf>
    <xf numFmtId="179" fontId="41" fillId="0" borderId="29" xfId="129" applyNumberFormat="1" applyFont="1" applyBorder="1" applyAlignment="1">
      <alignment vertical="center"/>
    </xf>
    <xf numFmtId="0" fontId="42" fillId="0" borderId="28" xfId="79" applyFont="1" applyBorder="1" applyAlignment="1">
      <alignment vertical="center"/>
    </xf>
    <xf numFmtId="0" fontId="41" fillId="0" borderId="11" xfId="0" applyFont="1" applyBorder="1" applyAlignment="1">
      <alignment vertical="center" wrapText="1"/>
    </xf>
    <xf numFmtId="0" fontId="41" fillId="0" borderId="13" xfId="0" applyFont="1" applyBorder="1" applyAlignment="1">
      <alignment vertical="center" wrapText="1"/>
    </xf>
    <xf numFmtId="0" fontId="41" fillId="0" borderId="18" xfId="0" applyFont="1" applyBorder="1" applyAlignment="1">
      <alignment vertical="center" wrapText="1"/>
    </xf>
    <xf numFmtId="0" fontId="41" fillId="25" borderId="45" xfId="130" applyFont="1" applyFill="1" applyBorder="1" applyAlignment="1">
      <alignment horizontal="center" vertical="center" wrapText="1"/>
    </xf>
    <xf numFmtId="0" fontId="42" fillId="0" borderId="0" xfId="89" applyFont="1"/>
    <xf numFmtId="181" fontId="41" fillId="0" borderId="16" xfId="36" applyNumberFormat="1" applyFont="1" applyFill="1" applyBorder="1" applyAlignment="1" applyProtection="1">
      <alignment vertical="center" wrapText="1"/>
      <protection locked="0"/>
    </xf>
    <xf numFmtId="0" fontId="40" fillId="0" borderId="16" xfId="0" applyFont="1" applyBorder="1" applyAlignment="1">
      <alignment horizontal="center" vertical="center"/>
    </xf>
    <xf numFmtId="0" fontId="49" fillId="0" borderId="0" xfId="0" applyFont="1"/>
    <xf numFmtId="172" fontId="42" fillId="26" borderId="16" xfId="36" applyFont="1" applyFill="1" applyBorder="1" applyAlignment="1" applyProtection="1">
      <alignment horizontal="center" vertical="center" wrapText="1"/>
      <protection locked="0"/>
    </xf>
    <xf numFmtId="2" fontId="44" fillId="32" borderId="16" xfId="0" applyNumberFormat="1" applyFont="1" applyFill="1" applyBorder="1" applyAlignment="1">
      <alignment horizontal="center" vertical="center"/>
    </xf>
    <xf numFmtId="2" fontId="44" fillId="0" borderId="19" xfId="0" applyNumberFormat="1" applyFont="1" applyBorder="1" applyAlignment="1">
      <alignment horizontal="center" vertical="center"/>
    </xf>
    <xf numFmtId="0" fontId="40" fillId="0" borderId="19" xfId="0" applyFont="1" applyBorder="1" applyAlignment="1">
      <alignment horizontal="center"/>
    </xf>
    <xf numFmtId="0" fontId="40" fillId="0" borderId="19" xfId="0" applyFont="1" applyBorder="1" applyAlignment="1">
      <alignment horizontal="centerContinuous"/>
    </xf>
    <xf numFmtId="0" fontId="40" fillId="0" borderId="19" xfId="0" applyFont="1" applyBorder="1"/>
    <xf numFmtId="0" fontId="44" fillId="0" borderId="19" xfId="0" applyFont="1" applyBorder="1" applyAlignment="1">
      <alignment horizontal="center" vertical="center"/>
    </xf>
    <xf numFmtId="0" fontId="44" fillId="0" borderId="19" xfId="0" applyFont="1" applyBorder="1" applyAlignment="1">
      <alignment horizontal="center" vertical="center" wrapText="1"/>
    </xf>
    <xf numFmtId="16" fontId="47" fillId="0" borderId="16" xfId="0" applyNumberFormat="1" applyFont="1" applyBorder="1" applyAlignment="1">
      <alignment horizontal="center" vertical="center" wrapText="1"/>
    </xf>
    <xf numFmtId="16" fontId="44" fillId="0" borderId="16" xfId="0" applyNumberFormat="1" applyFont="1" applyBorder="1" applyAlignment="1">
      <alignment horizontal="center" vertical="center" wrapText="1"/>
    </xf>
    <xf numFmtId="2" fontId="41" fillId="33" borderId="16" xfId="0" applyNumberFormat="1" applyFont="1" applyFill="1" applyBorder="1" applyAlignment="1">
      <alignment horizontal="center" vertical="center" wrapText="1"/>
    </xf>
    <xf numFmtId="200" fontId="41" fillId="0" borderId="19" xfId="0" applyNumberFormat="1" applyFont="1" applyBorder="1" applyAlignment="1">
      <alignment horizontal="center" vertical="center" wrapText="1"/>
    </xf>
    <xf numFmtId="0" fontId="0" fillId="0" borderId="16" xfId="0" applyBorder="1" applyAlignment="1">
      <alignment horizontal="center"/>
    </xf>
    <xf numFmtId="2" fontId="0" fillId="0" borderId="16" xfId="0" applyNumberFormat="1" applyBorder="1"/>
    <xf numFmtId="43" fontId="0" fillId="0" borderId="0" xfId="0" applyNumberFormat="1"/>
    <xf numFmtId="167" fontId="41" fillId="0" borderId="48" xfId="62" applyNumberFormat="1" applyFont="1" applyBorder="1" applyAlignment="1">
      <alignment horizontal="right" vertical="center" wrapText="1"/>
    </xf>
    <xf numFmtId="175" fontId="42" fillId="0" borderId="51" xfId="39" applyNumberFormat="1" applyFont="1" applyBorder="1" applyAlignment="1">
      <alignment horizontal="right" vertical="center"/>
    </xf>
    <xf numFmtId="175" fontId="42" fillId="0" borderId="47" xfId="39" applyNumberFormat="1" applyFont="1" applyBorder="1" applyAlignment="1">
      <alignment horizontal="right" vertical="center"/>
    </xf>
    <xf numFmtId="49" fontId="41" fillId="0" borderId="41" xfId="73" applyNumberFormat="1" applyFont="1" applyBorder="1" applyAlignment="1">
      <alignment horizontal="center" vertical="center"/>
    </xf>
    <xf numFmtId="0" fontId="41" fillId="0" borderId="16" xfId="89" applyFont="1" applyBorder="1"/>
    <xf numFmtId="10" fontId="41" fillId="0" borderId="0" xfId="95" applyNumberFormat="1" applyFont="1"/>
    <xf numFmtId="0" fontId="57" fillId="0" borderId="0" xfId="0" applyFont="1" applyAlignment="1">
      <alignment vertical="justify"/>
    </xf>
    <xf numFmtId="0" fontId="41" fillId="0" borderId="0" xfId="89" applyFont="1" applyAlignment="1">
      <alignment horizontal="justify"/>
    </xf>
    <xf numFmtId="0" fontId="41" fillId="0" borderId="0" xfId="89" applyFont="1" applyAlignment="1">
      <alignment vertical="justify"/>
    </xf>
    <xf numFmtId="0" fontId="40" fillId="0" borderId="0" xfId="0" applyFont="1" applyAlignment="1">
      <alignment horizontal="left" vertical="justify"/>
    </xf>
    <xf numFmtId="0" fontId="40" fillId="0" borderId="0" xfId="0" applyFont="1" applyAlignment="1">
      <alignment vertical="justify"/>
    </xf>
    <xf numFmtId="0" fontId="41" fillId="0" borderId="0" xfId="89" applyFont="1" applyAlignment="1">
      <alignment horizontal="left" vertical="justify"/>
    </xf>
    <xf numFmtId="0" fontId="41" fillId="0" borderId="0" xfId="89" applyFont="1" applyAlignment="1">
      <alignment horizontal="left" vertical="center" wrapText="1"/>
    </xf>
    <xf numFmtId="0" fontId="41" fillId="0" borderId="31" xfId="89" applyFont="1" applyBorder="1" applyAlignment="1">
      <alignment horizontal="center" vertical="justify"/>
    </xf>
    <xf numFmtId="0" fontId="40" fillId="32" borderId="16" xfId="0" applyFont="1" applyFill="1" applyBorder="1" applyAlignment="1">
      <alignment horizontal="center"/>
    </xf>
    <xf numFmtId="0" fontId="44" fillId="0" borderId="19" xfId="0" applyFont="1" applyBorder="1"/>
    <xf numFmtId="2" fontId="44" fillId="31" borderId="16" xfId="0" applyNumberFormat="1" applyFont="1" applyFill="1" applyBorder="1" applyAlignment="1">
      <alignment horizontal="center" vertical="center"/>
    </xf>
    <xf numFmtId="2" fontId="44" fillId="31" borderId="19" xfId="0" applyNumberFormat="1" applyFont="1" applyFill="1" applyBorder="1" applyAlignment="1">
      <alignment horizontal="center" vertical="center"/>
    </xf>
    <xf numFmtId="2" fontId="44" fillId="31" borderId="19" xfId="0" applyNumberFormat="1" applyFont="1" applyFill="1" applyBorder="1" applyAlignment="1">
      <alignment horizontal="center" vertical="center" wrapText="1"/>
    </xf>
    <xf numFmtId="201" fontId="41" fillId="31" borderId="16" xfId="36" applyNumberFormat="1" applyFont="1" applyFill="1" applyBorder="1" applyAlignment="1" applyProtection="1">
      <alignment vertical="center" wrapText="1"/>
      <protection locked="0"/>
    </xf>
    <xf numFmtId="0" fontId="44" fillId="31" borderId="16" xfId="0" applyFont="1" applyFill="1" applyBorder="1" applyAlignment="1">
      <alignment horizontal="center" vertical="center" wrapText="1"/>
    </xf>
    <xf numFmtId="0" fontId="40" fillId="31" borderId="16" xfId="0" applyFont="1" applyFill="1" applyBorder="1" applyAlignment="1">
      <alignment horizontal="centerContinuous"/>
    </xf>
    <xf numFmtId="0" fontId="40" fillId="31" borderId="16" xfId="0" applyFont="1" applyFill="1" applyBorder="1"/>
    <xf numFmtId="2" fontId="48" fillId="25" borderId="16" xfId="0" applyNumberFormat="1" applyFont="1" applyFill="1" applyBorder="1" applyAlignment="1">
      <alignment horizontal="center" vertical="center"/>
    </xf>
    <xf numFmtId="2" fontId="48" fillId="25" borderId="16" xfId="0" applyNumberFormat="1" applyFont="1" applyFill="1" applyBorder="1" applyAlignment="1">
      <alignment horizontal="center" vertical="center" wrapText="1"/>
    </xf>
    <xf numFmtId="0" fontId="44" fillId="25" borderId="16" xfId="0" applyFont="1" applyFill="1" applyBorder="1" applyAlignment="1">
      <alignment horizontal="center" vertical="center" wrapText="1"/>
    </xf>
    <xf numFmtId="0" fontId="40" fillId="25" borderId="16" xfId="0" applyFont="1" applyFill="1" applyBorder="1" applyAlignment="1">
      <alignment horizontal="centerContinuous"/>
    </xf>
    <xf numFmtId="0" fontId="40" fillId="25" borderId="16" xfId="0" applyFont="1" applyFill="1" applyBorder="1"/>
    <xf numFmtId="2" fontId="41" fillId="25" borderId="16" xfId="36" applyNumberFormat="1" applyFont="1" applyFill="1" applyBorder="1" applyAlignment="1" applyProtection="1">
      <alignment vertical="center" wrapText="1"/>
      <protection locked="0"/>
    </xf>
    <xf numFmtId="172" fontId="41" fillId="31" borderId="16" xfId="36" applyFont="1" applyFill="1" applyBorder="1" applyAlignment="1" applyProtection="1">
      <alignment vertical="center" wrapText="1"/>
      <protection locked="0"/>
    </xf>
    <xf numFmtId="0" fontId="44" fillId="31" borderId="16" xfId="0" applyFont="1" applyFill="1" applyBorder="1"/>
    <xf numFmtId="172" fontId="41" fillId="39" borderId="16" xfId="36" applyFont="1" applyFill="1" applyBorder="1" applyAlignment="1" applyProtection="1">
      <alignment horizontal="center" vertical="center" wrapText="1"/>
      <protection locked="0"/>
    </xf>
    <xf numFmtId="2" fontId="42" fillId="40" borderId="16" xfId="0" applyNumberFormat="1" applyFont="1" applyFill="1" applyBorder="1" applyAlignment="1" applyProtection="1">
      <alignment horizontal="center" vertical="center" wrapText="1"/>
      <protection locked="0"/>
    </xf>
    <xf numFmtId="0" fontId="60" fillId="0" borderId="16" xfId="0" applyFont="1" applyBorder="1"/>
    <xf numFmtId="0" fontId="60" fillId="0" borderId="16" xfId="0" applyFont="1" applyBorder="1" applyAlignment="1">
      <alignment horizontal="center"/>
    </xf>
    <xf numFmtId="172" fontId="41" fillId="25" borderId="16" xfId="36" applyFont="1" applyFill="1" applyBorder="1" applyAlignment="1" applyProtection="1">
      <alignment horizontal="center" vertical="center" wrapText="1"/>
      <protection locked="0"/>
    </xf>
    <xf numFmtId="172" fontId="41" fillId="25" borderId="16" xfId="36" applyFont="1" applyFill="1" applyBorder="1" applyAlignment="1" applyProtection="1">
      <alignment vertical="center" wrapText="1"/>
      <protection locked="0"/>
    </xf>
    <xf numFmtId="10" fontId="41" fillId="25" borderId="16" xfId="36" applyNumberFormat="1" applyFont="1" applyFill="1" applyBorder="1" applyAlignment="1" applyProtection="1">
      <alignment vertical="center" wrapText="1"/>
      <protection locked="0"/>
    </xf>
    <xf numFmtId="203" fontId="41" fillId="25" borderId="16" xfId="36" applyNumberFormat="1" applyFont="1" applyFill="1" applyBorder="1" applyAlignment="1" applyProtection="1">
      <alignment horizontal="center" vertical="center" wrapText="1"/>
      <protection locked="0"/>
    </xf>
    <xf numFmtId="181" fontId="41" fillId="26" borderId="16" xfId="36" applyNumberFormat="1" applyFont="1" applyFill="1" applyBorder="1" applyAlignment="1" applyProtection="1">
      <alignment horizontal="center" vertical="center" wrapText="1"/>
      <protection locked="0"/>
    </xf>
    <xf numFmtId="172" fontId="41" fillId="26" borderId="16" xfId="36" applyFont="1" applyFill="1" applyBorder="1" applyAlignment="1" applyProtection="1">
      <alignment vertical="center" wrapText="1"/>
      <protection locked="0"/>
    </xf>
    <xf numFmtId="10" fontId="41" fillId="26" borderId="16" xfId="36" applyNumberFormat="1" applyFont="1" applyFill="1" applyBorder="1" applyAlignment="1" applyProtection="1">
      <alignment vertical="center" wrapText="1"/>
      <protection locked="0"/>
    </xf>
    <xf numFmtId="0" fontId="40" fillId="26" borderId="16" xfId="0" applyFont="1" applyFill="1" applyBorder="1"/>
    <xf numFmtId="200" fontId="40" fillId="0" borderId="16" xfId="0" applyNumberFormat="1" applyFont="1" applyBorder="1"/>
    <xf numFmtId="200" fontId="40" fillId="0" borderId="16" xfId="0" applyNumberFormat="1" applyFont="1" applyBorder="1" applyAlignment="1">
      <alignment horizontal="center"/>
    </xf>
    <xf numFmtId="200" fontId="41" fillId="25" borderId="16" xfId="36" applyNumberFormat="1" applyFont="1" applyFill="1" applyBorder="1" applyAlignment="1" applyProtection="1">
      <alignment vertical="center" wrapText="1"/>
      <protection locked="0"/>
    </xf>
    <xf numFmtId="200" fontId="41" fillId="25" borderId="16" xfId="36" applyNumberFormat="1" applyFont="1" applyFill="1" applyBorder="1" applyAlignment="1" applyProtection="1">
      <alignment horizontal="center" vertical="center" wrapText="1"/>
      <protection locked="0"/>
    </xf>
    <xf numFmtId="200" fontId="40" fillId="25" borderId="16" xfId="0" applyNumberFormat="1" applyFont="1" applyFill="1" applyBorder="1"/>
    <xf numFmtId="2" fontId="41" fillId="25" borderId="16" xfId="36" applyNumberFormat="1" applyFont="1" applyFill="1" applyBorder="1" applyAlignment="1" applyProtection="1">
      <alignment horizontal="center" vertical="center" wrapText="1"/>
      <protection locked="0"/>
    </xf>
    <xf numFmtId="2" fontId="40" fillId="25" borderId="16" xfId="0" applyNumberFormat="1" applyFont="1" applyFill="1" applyBorder="1"/>
    <xf numFmtId="0" fontId="42" fillId="42" borderId="16" xfId="0" applyFont="1" applyFill="1" applyBorder="1" applyAlignment="1" applyProtection="1">
      <alignment horizontal="center" vertical="center" wrapText="1"/>
      <protection locked="0"/>
    </xf>
    <xf numFmtId="200" fontId="42" fillId="42" borderId="16" xfId="0" applyNumberFormat="1" applyFont="1" applyFill="1" applyBorder="1" applyAlignment="1" applyProtection="1">
      <alignment horizontal="center" vertical="center" wrapText="1"/>
      <protection locked="0"/>
    </xf>
    <xf numFmtId="0" fontId="42" fillId="42" borderId="16" xfId="0" applyFont="1" applyFill="1" applyBorder="1" applyAlignment="1" applyProtection="1">
      <alignment horizontal="centerContinuous" vertical="center" wrapText="1"/>
      <protection locked="0"/>
    </xf>
    <xf numFmtId="0" fontId="40" fillId="42" borderId="16" xfId="0" applyFont="1" applyFill="1" applyBorder="1" applyAlignment="1">
      <alignment horizontal="centerContinuous"/>
    </xf>
    <xf numFmtId="16" fontId="45" fillId="0" borderId="16" xfId="0" applyNumberFormat="1" applyFont="1" applyBorder="1" applyAlignment="1" applyProtection="1">
      <alignment vertical="center" wrapText="1"/>
      <protection locked="0"/>
    </xf>
    <xf numFmtId="2" fontId="0" fillId="0" borderId="16" xfId="0" applyNumberFormat="1" applyBorder="1" applyAlignment="1">
      <alignment horizontal="center"/>
    </xf>
    <xf numFmtId="2" fontId="41" fillId="0" borderId="16" xfId="0" applyNumberFormat="1" applyFont="1" applyBorder="1" applyAlignment="1" applyProtection="1">
      <alignment horizontal="center" vertical="center" wrapText="1"/>
      <protection locked="0"/>
    </xf>
    <xf numFmtId="181" fontId="41" fillId="25" borderId="16" xfId="36" applyNumberFormat="1" applyFont="1" applyFill="1" applyBorder="1" applyAlignment="1" applyProtection="1">
      <alignment vertical="center" wrapText="1"/>
      <protection locked="0"/>
    </xf>
    <xf numFmtId="0" fontId="41" fillId="25" borderId="16" xfId="73" applyFont="1" applyFill="1" applyBorder="1" applyAlignment="1">
      <alignment horizontal="left" vertical="center" wrapText="1"/>
    </xf>
    <xf numFmtId="4" fontId="41" fillId="25" borderId="16" xfId="39" applyNumberFormat="1" applyFont="1" applyFill="1" applyBorder="1" applyAlignment="1">
      <alignment vertical="center" wrapText="1"/>
    </xf>
    <xf numFmtId="0" fontId="42" fillId="37" borderId="16" xfId="0" applyFont="1" applyFill="1" applyBorder="1" applyAlignment="1" applyProtection="1">
      <alignment horizontal="center" vertical="center" wrapText="1"/>
      <protection locked="0"/>
    </xf>
    <xf numFmtId="0" fontId="42" fillId="31" borderId="16" xfId="0" applyFont="1" applyFill="1" applyBorder="1" applyAlignment="1" applyProtection="1">
      <alignment horizontal="center" vertical="center" wrapText="1"/>
      <protection locked="0"/>
    </xf>
    <xf numFmtId="172" fontId="41" fillId="0" borderId="19" xfId="36" applyFont="1" applyFill="1" applyBorder="1" applyAlignment="1" applyProtection="1">
      <alignment vertical="center" wrapText="1"/>
      <protection locked="0"/>
    </xf>
    <xf numFmtId="172" fontId="41" fillId="0" borderId="38" xfId="36" applyFont="1" applyFill="1" applyBorder="1" applyAlignment="1" applyProtection="1">
      <alignment horizontal="center" vertical="center" wrapText="1"/>
      <protection locked="0"/>
    </xf>
    <xf numFmtId="172" fontId="41" fillId="0" borderId="38" xfId="36" applyFont="1" applyFill="1" applyBorder="1" applyAlignment="1" applyProtection="1">
      <alignment vertical="center" wrapText="1"/>
      <protection locked="0"/>
    </xf>
    <xf numFmtId="201" fontId="41" fillId="0" borderId="38" xfId="36" applyNumberFormat="1" applyFont="1" applyFill="1" applyBorder="1" applyAlignment="1" applyProtection="1">
      <alignment vertical="center" wrapText="1"/>
      <protection locked="0"/>
    </xf>
    <xf numFmtId="2" fontId="44" fillId="0" borderId="19" xfId="0" applyNumberFormat="1" applyFont="1" applyBorder="1" applyAlignment="1">
      <alignment horizontal="center" vertical="center" wrapText="1"/>
    </xf>
    <xf numFmtId="0" fontId="46" fillId="30" borderId="19" xfId="0" applyFont="1" applyFill="1" applyBorder="1" applyAlignment="1">
      <alignment horizontal="center" vertical="center"/>
    </xf>
    <xf numFmtId="0" fontId="40" fillId="0" borderId="38" xfId="0" applyFont="1" applyBorder="1"/>
    <xf numFmtId="0" fontId="42" fillId="36" borderId="16" xfId="0" applyFont="1" applyFill="1" applyBorder="1" applyAlignment="1" applyProtection="1">
      <alignment horizontal="center" vertical="center" wrapText="1"/>
      <protection locked="0"/>
    </xf>
    <xf numFmtId="200" fontId="41" fillId="0" borderId="16" xfId="0" applyNumberFormat="1" applyFont="1" applyBorder="1" applyAlignment="1">
      <alignment horizontal="center" vertical="center" wrapText="1"/>
    </xf>
    <xf numFmtId="44" fontId="41" fillId="0" borderId="0" xfId="256" applyFont="1" applyAlignment="1">
      <alignment vertical="justify"/>
    </xf>
    <xf numFmtId="44" fontId="41" fillId="0" borderId="0" xfId="89" applyNumberFormat="1" applyFont="1" applyAlignment="1">
      <alignment vertical="justify"/>
    </xf>
    <xf numFmtId="0" fontId="6" fillId="0" borderId="0" xfId="0" applyFont="1"/>
    <xf numFmtId="172" fontId="41" fillId="39" borderId="16" xfId="36" applyFont="1" applyFill="1" applyBorder="1" applyAlignment="1" applyProtection="1">
      <alignment horizontal="centerContinuous" vertical="center" wrapText="1"/>
      <protection locked="0"/>
    </xf>
    <xf numFmtId="172" fontId="41" fillId="39" borderId="16" xfId="36" applyFont="1" applyFill="1" applyBorder="1" applyAlignment="1" applyProtection="1">
      <alignment vertical="center" wrapText="1"/>
      <protection locked="0"/>
    </xf>
    <xf numFmtId="0" fontId="40" fillId="27" borderId="16" xfId="0" applyFont="1" applyFill="1" applyBorder="1" applyAlignment="1">
      <alignment horizontal="center"/>
    </xf>
    <xf numFmtId="181" fontId="41" fillId="0" borderId="16" xfId="36" applyNumberFormat="1" applyFont="1" applyFill="1" applyBorder="1" applyAlignment="1" applyProtection="1">
      <alignment horizontal="center" vertical="center" wrapText="1"/>
      <protection locked="0"/>
    </xf>
    <xf numFmtId="0" fontId="41" fillId="0" borderId="16" xfId="0" applyFont="1" applyBorder="1" applyAlignment="1">
      <alignment horizontal="right" vertical="center" wrapText="1"/>
    </xf>
    <xf numFmtId="201" fontId="41" fillId="0" borderId="16" xfId="36" applyNumberFormat="1" applyFont="1" applyFill="1" applyBorder="1" applyAlignment="1" applyProtection="1">
      <alignment horizontal="center" vertical="center" wrapText="1"/>
      <protection locked="0"/>
    </xf>
    <xf numFmtId="1" fontId="44" fillId="0" borderId="16" xfId="0" applyNumberFormat="1" applyFont="1" applyBorder="1" applyAlignment="1">
      <alignment horizontal="center"/>
    </xf>
    <xf numFmtId="0" fontId="61" fillId="0" borderId="16" xfId="0" applyFont="1" applyBorder="1" applyAlignment="1">
      <alignment vertical="center"/>
    </xf>
    <xf numFmtId="2" fontId="48" fillId="0" borderId="17" xfId="0" applyNumberFormat="1" applyFont="1" applyBorder="1" applyAlignment="1">
      <alignment horizontal="center" vertical="center"/>
    </xf>
    <xf numFmtId="203" fontId="41" fillId="0" borderId="16" xfId="36" applyNumberFormat="1" applyFont="1" applyFill="1" applyBorder="1" applyAlignment="1" applyProtection="1">
      <alignment vertical="center" wrapText="1"/>
      <protection locked="0"/>
    </xf>
    <xf numFmtId="172" fontId="42" fillId="0" borderId="16" xfId="36" applyFont="1" applyFill="1" applyBorder="1" applyAlignment="1" applyProtection="1">
      <alignment horizontal="center" vertical="center" wrapText="1"/>
      <protection locked="0"/>
    </xf>
    <xf numFmtId="0" fontId="48" fillId="0" borderId="14" xfId="0" applyFont="1" applyBorder="1" applyAlignment="1">
      <alignment horizontal="center" vertical="center" wrapText="1"/>
    </xf>
    <xf numFmtId="0" fontId="48" fillId="0" borderId="16" xfId="257" applyFont="1" applyBorder="1" applyAlignment="1">
      <alignment horizontal="center" vertical="center" wrapText="1"/>
    </xf>
    <xf numFmtId="2" fontId="48" fillId="0" borderId="16" xfId="257" applyNumberFormat="1" applyFont="1" applyBorder="1" applyAlignment="1">
      <alignment horizontal="center" vertical="center" wrapText="1"/>
    </xf>
    <xf numFmtId="172" fontId="41" fillId="44" borderId="16" xfId="36" applyFont="1" applyFill="1" applyBorder="1" applyAlignment="1" applyProtection="1">
      <alignment horizontal="center" vertical="center" wrapText="1"/>
      <protection locked="0"/>
    </xf>
    <xf numFmtId="201" fontId="41" fillId="44" borderId="16" xfId="36" applyNumberFormat="1" applyFont="1" applyFill="1" applyBorder="1" applyAlignment="1" applyProtection="1">
      <alignment vertical="center" wrapText="1"/>
      <protection locked="0"/>
    </xf>
    <xf numFmtId="0" fontId="41" fillId="44" borderId="16" xfId="0" applyFont="1" applyFill="1" applyBorder="1" applyAlignment="1">
      <alignment horizontal="center" vertical="center" wrapText="1"/>
    </xf>
    <xf numFmtId="2" fontId="41" fillId="44" borderId="16" xfId="36" applyNumberFormat="1" applyFont="1" applyFill="1" applyBorder="1" applyAlignment="1" applyProtection="1">
      <alignment horizontal="center" vertical="center" wrapText="1"/>
      <protection locked="0"/>
    </xf>
    <xf numFmtId="202" fontId="41" fillId="44" borderId="16" xfId="36" applyNumberFormat="1" applyFont="1" applyFill="1" applyBorder="1" applyAlignment="1" applyProtection="1">
      <alignment horizontal="center" vertical="center" wrapText="1"/>
      <protection locked="0"/>
    </xf>
    <xf numFmtId="0" fontId="44" fillId="44" borderId="16" xfId="0" applyFont="1" applyFill="1" applyBorder="1" applyAlignment="1">
      <alignment horizontal="center"/>
    </xf>
    <xf numFmtId="2" fontId="44" fillId="44" borderId="16" xfId="0" applyNumberFormat="1" applyFont="1" applyFill="1" applyBorder="1" applyAlignment="1">
      <alignment horizontal="center"/>
    </xf>
    <xf numFmtId="0" fontId="42" fillId="44" borderId="16" xfId="0" applyFont="1" applyFill="1" applyBorder="1" applyAlignment="1" applyProtection="1">
      <alignment horizontal="center" vertical="center" wrapText="1"/>
      <protection locked="0"/>
    </xf>
    <xf numFmtId="0" fontId="41" fillId="0" borderId="16" xfId="0" applyFont="1" applyBorder="1" applyAlignment="1">
      <alignment horizontal="center"/>
    </xf>
    <xf numFmtId="0" fontId="41" fillId="0" borderId="16" xfId="0" applyFont="1" applyBorder="1" applyAlignment="1">
      <alignment horizontal="left" vertical="center" wrapText="1"/>
    </xf>
    <xf numFmtId="2" fontId="48" fillId="0" borderId="16" xfId="0" applyNumberFormat="1" applyFont="1" applyBorder="1" applyAlignment="1">
      <alignment horizontal="left" vertical="center" wrapText="1"/>
    </xf>
    <xf numFmtId="0" fontId="48" fillId="0" borderId="16" xfId="0" applyFont="1" applyBorder="1" applyAlignment="1">
      <alignment horizontal="left"/>
    </xf>
    <xf numFmtId="0" fontId="42" fillId="0" borderId="19" xfId="0" applyFont="1" applyBorder="1" applyAlignment="1">
      <alignment horizontal="left" vertical="center" wrapText="1"/>
    </xf>
    <xf numFmtId="49" fontId="42" fillId="36" borderId="16" xfId="0" applyNumberFormat="1" applyFont="1" applyFill="1" applyBorder="1" applyAlignment="1" applyProtection="1">
      <alignment horizontal="center" vertical="center" wrapText="1"/>
      <protection locked="0"/>
    </xf>
    <xf numFmtId="183" fontId="42" fillId="24" borderId="34" xfId="73" applyNumberFormat="1" applyFont="1" applyFill="1" applyBorder="1" applyAlignment="1">
      <alignment vertical="center"/>
    </xf>
    <xf numFmtId="172" fontId="41" fillId="0" borderId="0" xfId="34" applyFont="1" applyFill="1" applyBorder="1" applyAlignment="1">
      <alignment horizontal="center" vertical="center" wrapText="1"/>
    </xf>
    <xf numFmtId="44" fontId="41" fillId="0" borderId="0" xfId="34" applyNumberFormat="1" applyFont="1" applyFill="1" applyBorder="1" applyAlignment="1">
      <alignment horizontal="center" vertical="center" wrapText="1"/>
    </xf>
    <xf numFmtId="204" fontId="41" fillId="0" borderId="0" xfId="90" applyNumberFormat="1" applyFont="1"/>
    <xf numFmtId="167" fontId="41" fillId="0" borderId="19" xfId="62" applyNumberFormat="1" applyFont="1" applyBorder="1" applyAlignment="1">
      <alignment horizontal="right" vertical="center" wrapText="1"/>
    </xf>
    <xf numFmtId="0" fontId="41" fillId="0" borderId="19" xfId="74" applyFont="1" applyBorder="1" applyAlignment="1">
      <alignment horizontal="center" vertical="center"/>
    </xf>
    <xf numFmtId="167" fontId="41" fillId="0" borderId="16" xfId="62" quotePrefix="1" applyNumberFormat="1" applyFont="1" applyFill="1" applyBorder="1" applyAlignment="1">
      <alignment horizontal="right" vertical="center" wrapText="1"/>
    </xf>
    <xf numFmtId="4" fontId="41" fillId="0" borderId="19" xfId="39" applyNumberFormat="1" applyFont="1" applyBorder="1" applyAlignment="1">
      <alignment vertical="center" wrapText="1"/>
    </xf>
    <xf numFmtId="0" fontId="42" fillId="24" borderId="11" xfId="73" applyFont="1" applyFill="1" applyBorder="1" applyAlignment="1">
      <alignment vertical="center"/>
    </xf>
    <xf numFmtId="0" fontId="41" fillId="0" borderId="19" xfId="73" applyFont="1" applyBorder="1" applyAlignment="1">
      <alignment horizontal="center" vertical="center"/>
    </xf>
    <xf numFmtId="0" fontId="41" fillId="0" borderId="19" xfId="73" applyFont="1" applyBorder="1" applyAlignment="1">
      <alignment horizontal="left" vertical="center" wrapText="1"/>
    </xf>
    <xf numFmtId="167" fontId="41" fillId="0" borderId="48" xfId="62" applyNumberFormat="1" applyFont="1" applyFill="1" applyBorder="1" applyAlignment="1">
      <alignment horizontal="right" vertical="center" wrapText="1"/>
    </xf>
    <xf numFmtId="4" fontId="41" fillId="0" borderId="16" xfId="264" applyNumberFormat="1" applyFont="1" applyFill="1" applyBorder="1" applyAlignment="1">
      <alignment vertical="center" wrapText="1"/>
    </xf>
    <xf numFmtId="4" fontId="41" fillId="25" borderId="19" xfId="39" applyNumberFormat="1" applyFont="1" applyFill="1" applyBorder="1" applyAlignment="1">
      <alignment vertical="center" wrapText="1"/>
    </xf>
    <xf numFmtId="167" fontId="41" fillId="0" borderId="19" xfId="62" applyNumberFormat="1" applyFont="1" applyFill="1" applyBorder="1" applyAlignment="1">
      <alignment horizontal="right" vertical="center" wrapText="1"/>
    </xf>
    <xf numFmtId="4" fontId="41" fillId="0" borderId="19" xfId="264" applyNumberFormat="1" applyFont="1" applyFill="1" applyBorder="1" applyAlignment="1">
      <alignment vertical="center" wrapText="1"/>
    </xf>
    <xf numFmtId="0" fontId="41" fillId="0" borderId="19" xfId="74" applyFont="1" applyBorder="1" applyAlignment="1">
      <alignment horizontal="left" vertical="center"/>
    </xf>
    <xf numFmtId="0" fontId="41" fillId="0" borderId="11" xfId="73" applyFont="1" applyBorder="1" applyAlignment="1">
      <alignment horizontal="left" vertical="center"/>
    </xf>
    <xf numFmtId="0" fontId="42" fillId="0" borderId="16" xfId="135" applyFont="1" applyBorder="1" applyAlignment="1" applyProtection="1">
      <alignment horizontal="center" vertical="center" wrapText="1"/>
      <protection locked="0"/>
    </xf>
    <xf numFmtId="2" fontId="42" fillId="27" borderId="16" xfId="135" applyNumberFormat="1" applyFont="1" applyFill="1" applyBorder="1" applyAlignment="1" applyProtection="1">
      <alignment horizontal="center" vertical="center" wrapText="1"/>
      <protection locked="0"/>
    </xf>
    <xf numFmtId="0" fontId="42" fillId="28" borderId="16" xfId="135" applyFont="1" applyFill="1" applyBorder="1" applyAlignment="1" applyProtection="1">
      <alignment horizontal="center" vertical="center" wrapText="1"/>
      <protection locked="0"/>
    </xf>
    <xf numFmtId="0" fontId="42" fillId="28" borderId="16" xfId="135" applyFont="1" applyFill="1" applyBorder="1" applyAlignment="1" applyProtection="1">
      <alignment horizontal="centerContinuous" vertical="center" wrapText="1"/>
      <protection locked="0"/>
    </xf>
    <xf numFmtId="0" fontId="40" fillId="28" borderId="16" xfId="135" applyFont="1" applyFill="1" applyBorder="1" applyAlignment="1">
      <alignment horizontal="centerContinuous"/>
    </xf>
    <xf numFmtId="0" fontId="41" fillId="0" borderId="16" xfId="135" applyFont="1" applyBorder="1" applyAlignment="1" applyProtection="1">
      <alignment vertical="center" wrapText="1"/>
      <protection locked="0"/>
    </xf>
    <xf numFmtId="0" fontId="41" fillId="25" borderId="16" xfId="135" applyFont="1" applyFill="1" applyBorder="1" applyAlignment="1" applyProtection="1">
      <alignment vertical="center" wrapText="1"/>
      <protection locked="0"/>
    </xf>
    <xf numFmtId="0" fontId="40" fillId="0" borderId="16" xfId="135" applyFont="1" applyBorder="1"/>
    <xf numFmtId="0" fontId="42" fillId="0" borderId="16" xfId="135" applyFont="1" applyBorder="1" applyAlignment="1">
      <alignment horizontal="center" vertical="center" wrapText="1"/>
    </xf>
    <xf numFmtId="172" fontId="41" fillId="0" borderId="16" xfId="262" applyFont="1" applyFill="1" applyBorder="1" applyAlignment="1" applyProtection="1">
      <alignment horizontal="center" vertical="center" wrapText="1"/>
      <protection locked="0"/>
    </xf>
    <xf numFmtId="172" fontId="41" fillId="0" borderId="16" xfId="262" applyFont="1" applyFill="1" applyBorder="1" applyAlignment="1" applyProtection="1">
      <alignment vertical="center" wrapText="1"/>
      <protection locked="0"/>
    </xf>
    <xf numFmtId="201" fontId="41" fillId="0" borderId="16" xfId="262" applyNumberFormat="1" applyFont="1" applyFill="1" applyBorder="1" applyAlignment="1" applyProtection="1">
      <alignment vertical="center" wrapText="1"/>
      <protection locked="0"/>
    </xf>
    <xf numFmtId="172" fontId="41" fillId="0" borderId="16" xfId="262" applyFont="1" applyFill="1" applyBorder="1" applyAlignment="1" applyProtection="1">
      <alignment horizontal="centerContinuous" vertical="center" wrapText="1"/>
      <protection locked="0"/>
    </xf>
    <xf numFmtId="200" fontId="42" fillId="27" borderId="16" xfId="135" applyNumberFormat="1" applyFont="1" applyFill="1" applyBorder="1" applyAlignment="1" applyProtection="1">
      <alignment horizontal="center" vertical="center" wrapText="1"/>
      <protection locked="0"/>
    </xf>
    <xf numFmtId="0" fontId="39" fillId="27" borderId="16" xfId="135" applyFont="1" applyFill="1" applyBorder="1" applyAlignment="1">
      <alignment horizontal="center"/>
    </xf>
    <xf numFmtId="4" fontId="41" fillId="0" borderId="16" xfId="265" applyNumberFormat="1" applyFont="1" applyBorder="1" applyAlignment="1">
      <alignment vertical="center" wrapText="1"/>
    </xf>
    <xf numFmtId="0" fontId="42" fillId="25" borderId="26" xfId="73" applyFont="1" applyFill="1" applyBorder="1" applyAlignment="1">
      <alignment horizontal="center" vertical="center" wrapText="1"/>
    </xf>
    <xf numFmtId="0" fontId="42" fillId="25" borderId="23" xfId="73" applyFont="1" applyFill="1" applyBorder="1" applyAlignment="1">
      <alignment horizontal="center" vertical="center" wrapText="1"/>
    </xf>
    <xf numFmtId="4" fontId="42" fillId="25" borderId="23" xfId="73" applyNumberFormat="1"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0" fontId="44" fillId="0" borderId="19" xfId="0" applyFont="1" applyBorder="1" applyAlignment="1">
      <alignment horizontal="center"/>
    </xf>
    <xf numFmtId="172" fontId="0" fillId="0" borderId="0" xfId="0" applyNumberFormat="1"/>
    <xf numFmtId="0" fontId="40" fillId="31" borderId="16" xfId="0" applyFont="1" applyFill="1" applyBorder="1" applyAlignment="1">
      <alignment horizontal="center"/>
    </xf>
    <xf numFmtId="185" fontId="0" fillId="0" borderId="16" xfId="0" applyNumberFormat="1" applyBorder="1" applyAlignment="1">
      <alignment horizontal="center"/>
    </xf>
    <xf numFmtId="175" fontId="41" fillId="0" borderId="0" xfId="89" applyNumberFormat="1" applyFont="1" applyAlignment="1">
      <alignment vertical="justify"/>
    </xf>
    <xf numFmtId="167" fontId="41" fillId="0" borderId="0" xfId="89" applyNumberFormat="1" applyFont="1" applyAlignment="1">
      <alignment vertical="justify"/>
    </xf>
    <xf numFmtId="4" fontId="42" fillId="0" borderId="44" xfId="73" applyNumberFormat="1" applyFont="1" applyBorder="1" applyAlignment="1">
      <alignment horizontal="center" vertical="center" wrapText="1"/>
    </xf>
    <xf numFmtId="167" fontId="41" fillId="0" borderId="48" xfId="62" applyNumberFormat="1" applyFont="1" applyFill="1" applyBorder="1" applyAlignment="1">
      <alignment horizontal="center" vertical="center" wrapText="1"/>
    </xf>
    <xf numFmtId="167" fontId="41" fillId="0" borderId="56" xfId="62" applyNumberFormat="1" applyFont="1" applyFill="1" applyBorder="1" applyAlignment="1">
      <alignment horizontal="center" vertical="center" wrapText="1"/>
    </xf>
    <xf numFmtId="175" fontId="42" fillId="0" borderId="57" xfId="39" applyNumberFormat="1" applyFont="1" applyFill="1" applyBorder="1" applyAlignment="1">
      <alignment horizontal="center" vertical="center"/>
    </xf>
    <xf numFmtId="175" fontId="42" fillId="0" borderId="56" xfId="39" applyNumberFormat="1" applyFont="1" applyFill="1" applyBorder="1" applyAlignment="1">
      <alignment horizontal="center" vertical="center"/>
    </xf>
    <xf numFmtId="0" fontId="42" fillId="0" borderId="14" xfId="73" applyFont="1" applyBorder="1" applyAlignment="1">
      <alignment horizontal="center" vertical="center"/>
    </xf>
    <xf numFmtId="179" fontId="41" fillId="0" borderId="0" xfId="129" applyNumberFormat="1" applyFont="1" applyFill="1" applyBorder="1" applyAlignment="1">
      <alignment vertical="center"/>
    </xf>
    <xf numFmtId="182" fontId="42" fillId="0" borderId="0" xfId="60" applyNumberFormat="1" applyFont="1" applyFill="1" applyBorder="1" applyAlignment="1">
      <alignment horizontal="center" vertical="center"/>
    </xf>
    <xf numFmtId="10" fontId="41" fillId="0" borderId="0" xfId="95" applyNumberFormat="1" applyFont="1" applyFill="1" applyBorder="1" applyAlignment="1">
      <alignment horizontal="center" vertical="center"/>
    </xf>
    <xf numFmtId="44" fontId="41" fillId="45" borderId="0" xfId="34" applyNumberFormat="1" applyFont="1" applyFill="1" applyBorder="1" applyAlignment="1">
      <alignment horizontal="center" vertical="center" wrapText="1"/>
    </xf>
    <xf numFmtId="172" fontId="41" fillId="24" borderId="0" xfId="34" applyFont="1" applyFill="1" applyBorder="1" applyAlignment="1">
      <alignment horizontal="center" vertical="center" wrapText="1"/>
    </xf>
    <xf numFmtId="44" fontId="41" fillId="24" borderId="0" xfId="34" applyNumberFormat="1" applyFont="1" applyFill="1" applyBorder="1" applyAlignment="1">
      <alignment horizontal="center" vertical="center" wrapText="1"/>
    </xf>
    <xf numFmtId="0" fontId="65" fillId="41" borderId="16" xfId="0" applyFont="1" applyFill="1" applyBorder="1" applyAlignment="1">
      <alignment horizontal="center" vertical="center"/>
    </xf>
    <xf numFmtId="172" fontId="41" fillId="24" borderId="59" xfId="34" applyFont="1" applyFill="1" applyBorder="1" applyAlignment="1">
      <alignment horizontal="center" vertical="center" wrapText="1"/>
    </xf>
    <xf numFmtId="44" fontId="66" fillId="0" borderId="16" xfId="341" applyFont="1" applyFill="1" applyBorder="1" applyAlignment="1">
      <alignment horizontal="right" vertical="center"/>
    </xf>
    <xf numFmtId="4" fontId="41" fillId="0" borderId="19" xfId="39" applyNumberFormat="1" applyFont="1" applyFill="1" applyBorder="1" applyAlignment="1">
      <alignment horizontal="center" vertical="center" wrapText="1"/>
    </xf>
    <xf numFmtId="167" fontId="41" fillId="0" borderId="19" xfId="62" applyNumberFormat="1" applyFont="1" applyFill="1" applyBorder="1" applyAlignment="1">
      <alignment horizontal="center" vertical="center" wrapText="1"/>
    </xf>
    <xf numFmtId="4" fontId="41" fillId="0" borderId="16" xfId="39" applyNumberFormat="1" applyFont="1" applyFill="1" applyBorder="1" applyAlignment="1">
      <alignment horizontal="center" vertical="center" wrapText="1"/>
    </xf>
    <xf numFmtId="167" fontId="41" fillId="0" borderId="16" xfId="62" applyNumberFormat="1" applyFont="1" applyFill="1" applyBorder="1" applyAlignment="1">
      <alignment horizontal="center" vertical="center" wrapText="1"/>
    </xf>
    <xf numFmtId="44" fontId="41" fillId="0" borderId="16" xfId="34" applyNumberFormat="1" applyFont="1" applyFill="1" applyBorder="1" applyAlignment="1">
      <alignment horizontal="center" vertical="center" wrapText="1"/>
    </xf>
    <xf numFmtId="175" fontId="42" fillId="0" borderId="16" xfId="39" applyNumberFormat="1" applyFont="1" applyBorder="1" applyAlignment="1">
      <alignment horizontal="right" vertical="center"/>
    </xf>
    <xf numFmtId="172" fontId="41" fillId="0" borderId="16" xfId="34" applyFont="1" applyFill="1" applyBorder="1" applyAlignment="1">
      <alignment horizontal="center" vertical="center" wrapText="1"/>
    </xf>
    <xf numFmtId="44" fontId="42" fillId="0" borderId="16" xfId="34" applyNumberFormat="1" applyFont="1" applyFill="1" applyBorder="1" applyAlignment="1">
      <alignment horizontal="center" vertical="center" wrapText="1"/>
    </xf>
    <xf numFmtId="175" fontId="42" fillId="0" borderId="16" xfId="39" applyNumberFormat="1" applyFont="1" applyFill="1" applyBorder="1" applyAlignment="1">
      <alignment horizontal="center" vertical="center"/>
    </xf>
    <xf numFmtId="172" fontId="41" fillId="0" borderId="19" xfId="34" applyFont="1" applyFill="1" applyBorder="1" applyAlignment="1">
      <alignment horizontal="center" vertical="center" wrapText="1"/>
    </xf>
    <xf numFmtId="172" fontId="41" fillId="0" borderId="16" xfId="34" applyFont="1" applyFill="1" applyBorder="1" applyAlignment="1">
      <alignment vertical="center" wrapText="1"/>
    </xf>
    <xf numFmtId="44" fontId="66" fillId="0" borderId="16" xfId="341" applyFont="1" applyFill="1" applyBorder="1" applyAlignment="1">
      <alignment vertical="center"/>
    </xf>
    <xf numFmtId="44" fontId="66" fillId="0" borderId="16" xfId="341" applyFont="1" applyFill="1" applyBorder="1" applyAlignment="1">
      <alignment horizontal="center" vertical="center"/>
    </xf>
    <xf numFmtId="167" fontId="41" fillId="0" borderId="59" xfId="62" applyNumberFormat="1" applyFont="1" applyFill="1" applyBorder="1" applyAlignment="1">
      <alignment horizontal="center" vertical="center" wrapText="1"/>
    </xf>
    <xf numFmtId="167" fontId="41" fillId="0" borderId="38" xfId="62" applyNumberFormat="1" applyFont="1" applyFill="1" applyBorder="1" applyAlignment="1">
      <alignment horizontal="center" vertical="center" wrapText="1"/>
    </xf>
    <xf numFmtId="167" fontId="41" fillId="0" borderId="44" xfId="62" applyNumberFormat="1" applyFont="1" applyFill="1" applyBorder="1" applyAlignment="1">
      <alignment horizontal="center" vertical="center" wrapText="1"/>
    </xf>
    <xf numFmtId="167" fontId="41" fillId="0" borderId="57" xfId="62" applyNumberFormat="1" applyFont="1" applyFill="1" applyBorder="1" applyAlignment="1">
      <alignment horizontal="center" vertical="center" wrapText="1"/>
    </xf>
    <xf numFmtId="172" fontId="42" fillId="0" borderId="16" xfId="34" applyFont="1" applyFill="1" applyBorder="1" applyAlignment="1">
      <alignment horizontal="center" vertical="center" wrapText="1"/>
    </xf>
    <xf numFmtId="172" fontId="41" fillId="0" borderId="57" xfId="34" applyFont="1" applyFill="1" applyBorder="1" applyAlignment="1">
      <alignment horizontal="center" vertical="center" wrapText="1"/>
    </xf>
    <xf numFmtId="44" fontId="42" fillId="0" borderId="16" xfId="34" applyNumberFormat="1" applyFont="1" applyFill="1" applyBorder="1" applyAlignment="1">
      <alignment vertical="center" wrapText="1"/>
    </xf>
    <xf numFmtId="44" fontId="41" fillId="0" borderId="38" xfId="34" applyNumberFormat="1" applyFont="1" applyFill="1" applyBorder="1" applyAlignment="1">
      <alignment horizontal="center" vertical="center" wrapText="1"/>
    </xf>
    <xf numFmtId="172" fontId="41" fillId="0" borderId="57" xfId="34" applyFont="1" applyFill="1" applyBorder="1" applyAlignment="1">
      <alignment vertical="center" wrapText="1"/>
    </xf>
    <xf numFmtId="175" fontId="42" fillId="0" borderId="48" xfId="39" applyNumberFormat="1" applyFont="1" applyFill="1" applyBorder="1" applyAlignment="1">
      <alignment horizontal="center" vertical="center"/>
    </xf>
    <xf numFmtId="175" fontId="42" fillId="0" borderId="44" xfId="39" applyNumberFormat="1" applyFont="1" applyFill="1" applyBorder="1" applyAlignment="1">
      <alignment horizontal="center" vertical="center"/>
    </xf>
    <xf numFmtId="175" fontId="42" fillId="0" borderId="19" xfId="39" applyNumberFormat="1" applyFont="1" applyFill="1" applyBorder="1" applyAlignment="1">
      <alignment horizontal="center" vertical="center"/>
    </xf>
    <xf numFmtId="44" fontId="41" fillId="0" borderId="59" xfId="34" applyNumberFormat="1" applyFont="1" applyFill="1" applyBorder="1" applyAlignment="1">
      <alignment horizontal="center" vertical="center" wrapText="1"/>
    </xf>
    <xf numFmtId="44" fontId="41" fillId="0" borderId="19" xfId="34" applyNumberFormat="1" applyFont="1" applyFill="1" applyBorder="1" applyAlignment="1">
      <alignment horizontal="center" vertical="center" wrapText="1"/>
    </xf>
    <xf numFmtId="44" fontId="42" fillId="0" borderId="57" xfId="34" applyNumberFormat="1" applyFont="1" applyFill="1" applyBorder="1" applyAlignment="1">
      <alignment horizontal="center" vertical="center" wrapText="1"/>
    </xf>
    <xf numFmtId="4" fontId="41" fillId="0" borderId="49" xfId="39" applyNumberFormat="1" applyFont="1" applyFill="1" applyBorder="1" applyAlignment="1">
      <alignment vertical="center" wrapText="1"/>
    </xf>
    <xf numFmtId="172" fontId="41" fillId="0" borderId="58" xfId="34" applyFont="1" applyFill="1" applyBorder="1" applyAlignment="1">
      <alignment horizontal="center" vertical="center" wrapText="1"/>
    </xf>
    <xf numFmtId="2" fontId="41" fillId="0" borderId="16" xfId="62" applyNumberFormat="1" applyFont="1" applyFill="1" applyBorder="1" applyAlignment="1">
      <alignment horizontal="center" vertical="center" wrapText="1"/>
    </xf>
    <xf numFmtId="175" fontId="41" fillId="0" borderId="0" xfId="89" applyNumberFormat="1" applyFont="1" applyAlignment="1">
      <alignment vertical="center"/>
    </xf>
    <xf numFmtId="167" fontId="41" fillId="0" borderId="59" xfId="62" applyNumberFormat="1" applyFont="1" applyFill="1" applyBorder="1" applyAlignment="1">
      <alignment vertical="center" wrapText="1"/>
    </xf>
    <xf numFmtId="167" fontId="41" fillId="0" borderId="38" xfId="62" applyNumberFormat="1" applyFont="1" applyFill="1" applyBorder="1" applyAlignment="1">
      <alignment vertical="center" wrapText="1"/>
    </xf>
    <xf numFmtId="167" fontId="41" fillId="0" borderId="19" xfId="62" applyNumberFormat="1" applyFont="1" applyFill="1" applyBorder="1" applyAlignment="1">
      <alignment vertical="center" wrapText="1"/>
    </xf>
    <xf numFmtId="44" fontId="41" fillId="0" borderId="59" xfId="34" applyNumberFormat="1" applyFont="1" applyFill="1" applyBorder="1" applyAlignment="1">
      <alignment vertical="center" wrapText="1"/>
    </xf>
    <xf numFmtId="44" fontId="41" fillId="0" borderId="38" xfId="34" applyNumberFormat="1" applyFont="1" applyFill="1" applyBorder="1" applyAlignment="1">
      <alignment vertical="center" wrapText="1"/>
    </xf>
    <xf numFmtId="44" fontId="41" fillId="0" borderId="19" xfId="34" applyNumberFormat="1" applyFont="1" applyFill="1" applyBorder="1" applyAlignment="1">
      <alignment vertical="center" wrapText="1"/>
    </xf>
    <xf numFmtId="182" fontId="42" fillId="0" borderId="37" xfId="60" applyNumberFormat="1" applyFont="1" applyFill="1" applyBorder="1" applyAlignment="1">
      <alignment horizontal="center" vertical="center"/>
    </xf>
    <xf numFmtId="182" fontId="42" fillId="0" borderId="16" xfId="60" applyNumberFormat="1" applyFont="1" applyFill="1" applyBorder="1" applyAlignment="1">
      <alignment horizontal="center" vertical="center"/>
    </xf>
    <xf numFmtId="10" fontId="41" fillId="0" borderId="24" xfId="95" applyNumberFormat="1" applyFont="1" applyFill="1" applyBorder="1" applyAlignment="1">
      <alignment horizontal="center" vertical="center"/>
    </xf>
    <xf numFmtId="0" fontId="41" fillId="0" borderId="36" xfId="0" applyFont="1" applyBorder="1" applyAlignment="1">
      <alignment vertical="center" wrapText="1"/>
    </xf>
    <xf numFmtId="179" fontId="41" fillId="0" borderId="0" xfId="129" applyNumberFormat="1" applyFont="1" applyFill="1" applyBorder="1" applyAlignment="1">
      <alignment horizontal="center" vertical="center"/>
    </xf>
    <xf numFmtId="204" fontId="68" fillId="0" borderId="0" xfId="90" applyNumberFormat="1" applyFont="1"/>
    <xf numFmtId="204" fontId="69" fillId="0" borderId="0" xfId="90" applyNumberFormat="1" applyFont="1"/>
    <xf numFmtId="10" fontId="41" fillId="0" borderId="16" xfId="262" applyNumberFormat="1" applyFont="1" applyFill="1" applyBorder="1" applyAlignment="1" applyProtection="1">
      <alignment vertical="center" wrapText="1"/>
      <protection locked="0"/>
    </xf>
    <xf numFmtId="2" fontId="41" fillId="0" borderId="16" xfId="262" applyNumberFormat="1" applyFont="1" applyFill="1" applyBorder="1" applyAlignment="1" applyProtection="1">
      <alignment horizontal="center" vertical="center" wrapText="1"/>
      <protection locked="0"/>
    </xf>
    <xf numFmtId="202" fontId="41" fillId="0" borderId="16" xfId="262" applyNumberFormat="1" applyFont="1" applyFill="1" applyBorder="1" applyAlignment="1" applyProtection="1">
      <alignment horizontal="center" vertical="center" wrapText="1"/>
      <protection locked="0"/>
    </xf>
    <xf numFmtId="203" fontId="41" fillId="0" borderId="16" xfId="262" applyNumberFormat="1" applyFont="1" applyFill="1" applyBorder="1" applyAlignment="1" applyProtection="1">
      <alignment vertical="center" wrapText="1"/>
      <protection locked="0"/>
    </xf>
    <xf numFmtId="0" fontId="42" fillId="0" borderId="59" xfId="0" applyFont="1" applyBorder="1" applyAlignment="1">
      <alignment horizontal="left" vertical="center" wrapText="1"/>
    </xf>
    <xf numFmtId="0" fontId="42" fillId="0" borderId="59" xfId="0" applyFont="1" applyBorder="1" applyAlignment="1">
      <alignment horizontal="center" vertical="center" wrapText="1"/>
    </xf>
    <xf numFmtId="0" fontId="41" fillId="0" borderId="59" xfId="0" applyFont="1" applyBorder="1" applyAlignment="1">
      <alignment horizontal="center" vertical="center" wrapText="1"/>
    </xf>
    <xf numFmtId="2" fontId="41" fillId="0" borderId="59" xfId="0" applyNumberFormat="1" applyFont="1" applyBorder="1" applyAlignment="1">
      <alignment horizontal="center" vertical="center" wrapText="1"/>
    </xf>
    <xf numFmtId="0" fontId="42" fillId="0" borderId="59" xfId="0" applyFont="1" applyBorder="1" applyAlignment="1" applyProtection="1">
      <alignment horizontal="center" vertical="center" wrapText="1"/>
      <protection locked="0"/>
    </xf>
    <xf numFmtId="2" fontId="48" fillId="0" borderId="59" xfId="0" applyNumberFormat="1" applyFont="1" applyBorder="1" applyAlignment="1">
      <alignment horizontal="center"/>
    </xf>
    <xf numFmtId="172" fontId="41" fillId="26" borderId="16" xfId="262" applyFont="1" applyFill="1" applyBorder="1" applyAlignment="1" applyProtection="1">
      <alignment horizontal="center" vertical="center" wrapText="1"/>
      <protection locked="0"/>
    </xf>
    <xf numFmtId="179" fontId="41" fillId="0" borderId="16" xfId="129" applyNumberFormat="1" applyFont="1" applyBorder="1" applyAlignment="1">
      <alignment vertical="center"/>
    </xf>
    <xf numFmtId="183" fontId="42" fillId="24" borderId="16" xfId="73" applyNumberFormat="1" applyFont="1" applyFill="1" applyBorder="1" applyAlignment="1">
      <alignment vertical="center"/>
    </xf>
    <xf numFmtId="43" fontId="0" fillId="0" borderId="16" xfId="0" applyNumberFormat="1" applyBorder="1"/>
    <xf numFmtId="0" fontId="0" fillId="0" borderId="19" xfId="0" applyBorder="1" applyAlignment="1">
      <alignment horizontal="center" vertical="center"/>
    </xf>
    <xf numFmtId="0" fontId="0" fillId="37" borderId="0" xfId="0" applyFill="1"/>
    <xf numFmtId="172" fontId="41" fillId="0" borderId="64" xfId="36" applyFont="1" applyFill="1" applyBorder="1" applyAlignment="1" applyProtection="1">
      <alignment vertical="center" wrapText="1"/>
      <protection locked="0"/>
    </xf>
    <xf numFmtId="0" fontId="40" fillId="0" borderId="64" xfId="0" applyFont="1" applyBorder="1" applyAlignment="1">
      <alignment horizontal="center"/>
    </xf>
    <xf numFmtId="164" fontId="41" fillId="0" borderId="16" xfId="36" applyNumberFormat="1" applyFont="1" applyFill="1" applyBorder="1" applyAlignment="1" applyProtection="1">
      <alignment horizontal="center" vertical="center" wrapText="1"/>
      <protection locked="0"/>
    </xf>
    <xf numFmtId="1" fontId="0" fillId="0" borderId="0" xfId="0" applyNumberFormat="1"/>
    <xf numFmtId="0" fontId="40" fillId="39" borderId="16" xfId="0" applyFont="1" applyFill="1" applyBorder="1" applyAlignment="1">
      <alignment horizontal="center"/>
    </xf>
    <xf numFmtId="181" fontId="42" fillId="0" borderId="16" xfId="36" applyNumberFormat="1" applyFont="1" applyFill="1" applyBorder="1" applyAlignment="1" applyProtection="1">
      <alignment vertical="center" wrapText="1"/>
      <protection locked="0"/>
    </xf>
    <xf numFmtId="0" fontId="0" fillId="0" borderId="19" xfId="0" applyBorder="1" applyAlignment="1">
      <alignment horizontal="center"/>
    </xf>
    <xf numFmtId="206" fontId="41" fillId="0" borderId="16" xfId="36" applyNumberFormat="1" applyFont="1" applyFill="1" applyBorder="1" applyAlignment="1" applyProtection="1">
      <alignment horizontal="center" vertical="center" wrapText="1"/>
      <protection locked="0"/>
    </xf>
    <xf numFmtId="206" fontId="41" fillId="0" borderId="16" xfId="36" applyNumberFormat="1" applyFont="1" applyFill="1" applyBorder="1" applyAlignment="1" applyProtection="1">
      <alignment vertical="center" wrapText="1"/>
      <protection locked="0"/>
    </xf>
    <xf numFmtId="206" fontId="40" fillId="0" borderId="16" xfId="0" applyNumberFormat="1" applyFont="1" applyBorder="1" applyAlignment="1">
      <alignment horizontal="center"/>
    </xf>
    <xf numFmtId="0" fontId="46" fillId="0" borderId="16" xfId="0" applyFont="1" applyBorder="1" applyAlignment="1">
      <alignment horizontal="center" vertical="center"/>
    </xf>
    <xf numFmtId="172" fontId="41" fillId="0" borderId="65" xfId="36" applyFont="1" applyFill="1" applyBorder="1" applyAlignment="1" applyProtection="1">
      <alignment horizontal="center" vertical="center" wrapText="1"/>
      <protection locked="0"/>
    </xf>
    <xf numFmtId="0" fontId="42" fillId="0" borderId="16" xfId="0" applyFont="1" applyBorder="1" applyAlignment="1" applyProtection="1">
      <alignment vertical="center" wrapText="1"/>
      <protection locked="0"/>
    </xf>
    <xf numFmtId="44" fontId="0" fillId="0" borderId="0" xfId="256" applyFont="1"/>
    <xf numFmtId="0" fontId="41" fillId="0" borderId="16" xfId="0" applyFont="1" applyBorder="1" applyAlignment="1">
      <alignment vertical="center" wrapText="1"/>
    </xf>
    <xf numFmtId="2" fontId="41" fillId="0" borderId="16" xfId="0" applyNumberFormat="1" applyFont="1" applyBorder="1" applyAlignment="1">
      <alignment vertical="center" wrapText="1"/>
    </xf>
    <xf numFmtId="200" fontId="41" fillId="0" borderId="16" xfId="0" applyNumberFormat="1" applyFont="1" applyBorder="1" applyAlignment="1">
      <alignment vertical="center" wrapText="1"/>
    </xf>
    <xf numFmtId="0" fontId="41" fillId="0" borderId="66" xfId="0" applyFont="1" applyBorder="1" applyAlignment="1">
      <alignment horizontal="center" vertical="center" wrapText="1"/>
    </xf>
    <xf numFmtId="2" fontId="41" fillId="0" borderId="66" xfId="0" applyNumberFormat="1" applyFont="1" applyBorder="1" applyAlignment="1">
      <alignment horizontal="center" vertical="center" wrapText="1"/>
    </xf>
    <xf numFmtId="0" fontId="41" fillId="0" borderId="66" xfId="0" applyFont="1" applyBorder="1" applyAlignment="1" applyProtection="1">
      <alignment horizontal="center" vertical="center" wrapText="1"/>
      <protection locked="0"/>
    </xf>
    <xf numFmtId="0" fontId="48" fillId="0" borderId="66" xfId="0" applyFont="1" applyBorder="1" applyAlignment="1">
      <alignment horizontal="center"/>
    </xf>
    <xf numFmtId="2" fontId="44" fillId="0" borderId="66" xfId="0" applyNumberFormat="1" applyFont="1" applyBorder="1" applyAlignment="1">
      <alignment horizontal="center"/>
    </xf>
    <xf numFmtId="44" fontId="0" fillId="0" borderId="0" xfId="256" applyFont="1" applyAlignment="1">
      <alignment horizontal="center"/>
    </xf>
    <xf numFmtId="0" fontId="42" fillId="0" borderId="16" xfId="0" applyFont="1" applyBorder="1" applyAlignment="1">
      <alignment vertical="center" wrapText="1"/>
    </xf>
    <xf numFmtId="0" fontId="42" fillId="25" borderId="16" xfId="73" applyFont="1" applyFill="1" applyBorder="1" applyAlignment="1">
      <alignment horizontal="center" vertical="center" wrapText="1"/>
    </xf>
    <xf numFmtId="49" fontId="42" fillId="0" borderId="16" xfId="131" applyNumberFormat="1" applyFont="1" applyBorder="1" applyAlignment="1">
      <alignment horizontal="right" vertical="center"/>
    </xf>
    <xf numFmtId="182" fontId="42" fillId="0" borderId="16" xfId="131" applyNumberFormat="1" applyFont="1" applyBorder="1" applyAlignment="1">
      <alignment horizontal="center" vertical="center"/>
    </xf>
    <xf numFmtId="0" fontId="41" fillId="0" borderId="16" xfId="90" applyFont="1" applyBorder="1"/>
    <xf numFmtId="0" fontId="42" fillId="24" borderId="16" xfId="73" applyFont="1" applyFill="1" applyBorder="1" applyAlignment="1">
      <alignment horizontal="left" vertical="center"/>
    </xf>
    <xf numFmtId="0" fontId="42" fillId="24" borderId="16" xfId="73" applyFont="1" applyFill="1" applyBorder="1" applyAlignment="1">
      <alignment horizontal="center" vertical="center"/>
    </xf>
    <xf numFmtId="175" fontId="41" fillId="0" borderId="16" xfId="62" applyNumberFormat="1" applyFont="1" applyFill="1" applyBorder="1" applyAlignment="1">
      <alignment horizontal="right" vertical="center" wrapText="1"/>
    </xf>
    <xf numFmtId="172" fontId="41" fillId="0" borderId="59" xfId="262" applyFont="1" applyFill="1" applyBorder="1" applyAlignment="1" applyProtection="1">
      <alignment horizontal="center" vertical="center" wrapText="1"/>
      <protection locked="0"/>
    </xf>
    <xf numFmtId="2" fontId="48" fillId="0" borderId="59" xfId="0" applyNumberFormat="1" applyFont="1" applyBorder="1" applyAlignment="1">
      <alignment horizontal="center" vertical="center"/>
    </xf>
    <xf numFmtId="2" fontId="48" fillId="0" borderId="19" xfId="0" applyNumberFormat="1" applyFont="1" applyBorder="1" applyAlignment="1">
      <alignment horizontal="center" vertical="center"/>
    </xf>
    <xf numFmtId="0" fontId="48" fillId="0" borderId="59" xfId="0" applyFont="1" applyBorder="1" applyAlignment="1">
      <alignment horizontal="center" vertical="center"/>
    </xf>
    <xf numFmtId="172" fontId="41" fillId="0" borderId="59" xfId="262" applyFont="1" applyFill="1" applyBorder="1" applyAlignment="1" applyProtection="1">
      <alignment vertical="center" wrapText="1"/>
      <protection locked="0"/>
    </xf>
    <xf numFmtId="0" fontId="40" fillId="0" borderId="59" xfId="0" applyFont="1" applyBorder="1" applyAlignment="1">
      <alignment horizontal="centerContinuous"/>
    </xf>
    <xf numFmtId="0" fontId="40" fillId="0" borderId="59" xfId="0" applyFont="1" applyBorder="1"/>
    <xf numFmtId="172" fontId="41" fillId="0" borderId="16" xfId="262" applyFont="1" applyFill="1" applyBorder="1" applyAlignment="1" applyProtection="1">
      <alignment horizontal="left" vertical="center" wrapText="1"/>
      <protection locked="0"/>
    </xf>
    <xf numFmtId="0" fontId="42" fillId="0" borderId="16" xfId="0" applyFont="1" applyBorder="1" applyAlignment="1">
      <alignment horizontal="left" vertical="center" wrapText="1"/>
    </xf>
    <xf numFmtId="181" fontId="41" fillId="0" borderId="16" xfId="36" applyNumberFormat="1" applyFont="1" applyFill="1" applyBorder="1" applyAlignment="1" applyProtection="1">
      <alignment horizontal="left" vertical="center" wrapText="1"/>
      <protection locked="0"/>
    </xf>
    <xf numFmtId="0" fontId="70" fillId="0" borderId="0" xfId="89" applyFont="1" applyAlignment="1">
      <alignment vertical="justify"/>
    </xf>
    <xf numFmtId="182" fontId="41" fillId="0" borderId="16" xfId="131" applyNumberFormat="1" applyFont="1" applyBorder="1" applyAlignment="1">
      <alignment horizontal="center" vertical="center"/>
    </xf>
    <xf numFmtId="2" fontId="42" fillId="37" borderId="16" xfId="0" applyNumberFormat="1" applyFont="1" applyFill="1" applyBorder="1" applyAlignment="1" applyProtection="1">
      <alignment horizontal="center" vertical="center" wrapText="1"/>
      <protection locked="0"/>
    </xf>
    <xf numFmtId="0" fontId="42" fillId="37" borderId="16" xfId="0" applyFont="1" applyFill="1" applyBorder="1" applyAlignment="1" applyProtection="1">
      <alignment horizontal="centerContinuous" vertical="center" wrapText="1"/>
      <protection locked="0"/>
    </xf>
    <xf numFmtId="0" fontId="40" fillId="37" borderId="16" xfId="0" applyFont="1" applyFill="1" applyBorder="1" applyAlignment="1">
      <alignment horizontal="centerContinuous"/>
    </xf>
    <xf numFmtId="204" fontId="42" fillId="0" borderId="0" xfId="90" applyNumberFormat="1" applyFont="1"/>
    <xf numFmtId="167" fontId="41" fillId="0" borderId="16" xfId="34" applyNumberFormat="1" applyFont="1" applyFill="1" applyBorder="1" applyAlignment="1">
      <alignment horizontal="center" vertical="center" wrapText="1"/>
    </xf>
    <xf numFmtId="183" fontId="41" fillId="0" borderId="0" xfId="90" applyNumberFormat="1" applyFont="1"/>
    <xf numFmtId="0" fontId="41" fillId="0" borderId="19" xfId="90" applyFont="1" applyBorder="1"/>
    <xf numFmtId="0" fontId="41" fillId="0" borderId="0" xfId="89" applyFont="1" applyAlignment="1">
      <alignment horizontal="center" vertical="justify"/>
    </xf>
    <xf numFmtId="183" fontId="42" fillId="24" borderId="47" xfId="73" applyNumberFormat="1" applyFont="1" applyFill="1" applyBorder="1" applyAlignment="1">
      <alignment vertical="center"/>
    </xf>
    <xf numFmtId="44" fontId="42" fillId="24" borderId="34" xfId="73" applyNumberFormat="1" applyFont="1" applyFill="1" applyBorder="1" applyAlignment="1">
      <alignment vertical="center"/>
    </xf>
    <xf numFmtId="172" fontId="41" fillId="24" borderId="48" xfId="34" applyFont="1" applyFill="1" applyBorder="1" applyAlignment="1">
      <alignment vertical="center" wrapText="1"/>
    </xf>
    <xf numFmtId="172" fontId="41" fillId="24" borderId="44" xfId="34" applyFont="1" applyFill="1" applyBorder="1" applyAlignment="1">
      <alignment vertical="center" wrapText="1"/>
    </xf>
    <xf numFmtId="175" fontId="42" fillId="0" borderId="0" xfId="39" applyNumberFormat="1" applyFont="1" applyFill="1" applyBorder="1" applyAlignment="1">
      <alignment horizontal="center" vertical="center"/>
    </xf>
    <xf numFmtId="0" fontId="41" fillId="25" borderId="0" xfId="89" applyFont="1" applyFill="1" applyAlignment="1">
      <alignment vertical="justify"/>
    </xf>
    <xf numFmtId="0" fontId="41" fillId="25" borderId="19" xfId="73" applyFont="1" applyFill="1" applyBorder="1" applyAlignment="1">
      <alignment horizontal="left" vertical="center" wrapText="1"/>
    </xf>
    <xf numFmtId="0" fontId="41" fillId="25" borderId="16" xfId="135" applyFont="1" applyFill="1" applyBorder="1" applyAlignment="1">
      <alignment horizontal="left" vertical="center" wrapText="1"/>
    </xf>
    <xf numFmtId="0" fontId="41" fillId="25" borderId="16" xfId="135" applyFont="1" applyFill="1" applyBorder="1" applyAlignment="1">
      <alignment horizontal="center" vertical="center"/>
    </xf>
    <xf numFmtId="0" fontId="41" fillId="25" borderId="16" xfId="73" applyFont="1" applyFill="1" applyBorder="1" applyAlignment="1">
      <alignment horizontal="center" vertical="center"/>
    </xf>
    <xf numFmtId="0" fontId="41" fillId="25" borderId="16" xfId="74" applyFont="1" applyFill="1" applyBorder="1" applyAlignment="1">
      <alignment horizontal="center" vertical="center"/>
    </xf>
    <xf numFmtId="0" fontId="41" fillId="25" borderId="19" xfId="73" applyFont="1" applyFill="1" applyBorder="1" applyAlignment="1">
      <alignment horizontal="center" vertical="center"/>
    </xf>
    <xf numFmtId="167" fontId="41" fillId="25" borderId="19" xfId="62" applyNumberFormat="1" applyFont="1" applyFill="1" applyBorder="1" applyAlignment="1">
      <alignment horizontal="right" vertical="center" wrapText="1"/>
    </xf>
    <xf numFmtId="167" fontId="41" fillId="25" borderId="37" xfId="62" applyNumberFormat="1" applyFont="1" applyFill="1" applyBorder="1" applyAlignment="1">
      <alignment horizontal="right" vertical="center" wrapText="1"/>
    </xf>
    <xf numFmtId="0" fontId="41" fillId="25" borderId="16" xfId="126" applyFont="1" applyFill="1" applyBorder="1" applyAlignment="1">
      <alignment horizontal="center" vertical="center"/>
    </xf>
    <xf numFmtId="167" fontId="41" fillId="25" borderId="16" xfId="62" applyNumberFormat="1" applyFont="1" applyFill="1" applyBorder="1" applyAlignment="1">
      <alignment horizontal="right" vertical="center" wrapText="1"/>
    </xf>
    <xf numFmtId="0" fontId="41" fillId="25" borderId="41" xfId="73" applyFont="1" applyFill="1" applyBorder="1" applyAlignment="1">
      <alignment horizontal="center" vertical="center"/>
    </xf>
    <xf numFmtId="0" fontId="41" fillId="25" borderId="19" xfId="74" applyFont="1" applyFill="1" applyBorder="1" applyAlignment="1">
      <alignment horizontal="center" vertical="center"/>
    </xf>
    <xf numFmtId="0" fontId="41" fillId="25" borderId="19" xfId="74" applyFont="1" applyFill="1" applyBorder="1" applyAlignment="1">
      <alignment horizontal="left" vertical="center"/>
    </xf>
    <xf numFmtId="0" fontId="41" fillId="25" borderId="16" xfId="74" applyFont="1" applyFill="1" applyBorder="1" applyAlignment="1">
      <alignment horizontal="left" vertical="center" wrapText="1"/>
    </xf>
    <xf numFmtId="0" fontId="41" fillId="25" borderId="16" xfId="74" applyFont="1" applyFill="1" applyBorder="1" applyAlignment="1">
      <alignment horizontal="left" vertical="center"/>
    </xf>
    <xf numFmtId="0" fontId="41" fillId="25" borderId="19" xfId="74" applyFont="1" applyFill="1" applyBorder="1" applyAlignment="1">
      <alignment horizontal="left" vertical="center" wrapText="1"/>
    </xf>
    <xf numFmtId="49" fontId="41" fillId="25" borderId="41" xfId="73" applyNumberFormat="1" applyFont="1" applyFill="1" applyBorder="1" applyAlignment="1">
      <alignment horizontal="center" vertical="center"/>
    </xf>
    <xf numFmtId="2" fontId="41" fillId="25" borderId="41" xfId="73" applyNumberFormat="1" applyFont="1" applyFill="1" applyBorder="1" applyAlignment="1">
      <alignment horizontal="center" vertical="center"/>
    </xf>
    <xf numFmtId="167" fontId="41" fillId="25" borderId="48" xfId="62" applyNumberFormat="1" applyFont="1" applyFill="1" applyBorder="1" applyAlignment="1">
      <alignment horizontal="right" vertical="center" wrapText="1"/>
    </xf>
    <xf numFmtId="0" fontId="41" fillId="25" borderId="30" xfId="89" applyFont="1" applyFill="1" applyBorder="1"/>
    <xf numFmtId="0" fontId="41" fillId="25" borderId="16" xfId="135" applyFont="1" applyFill="1" applyBorder="1" applyAlignment="1">
      <alignment horizontal="center" vertical="center" wrapText="1"/>
    </xf>
    <xf numFmtId="167" fontId="41" fillId="25" borderId="38" xfId="62" applyNumberFormat="1" applyFont="1" applyFill="1" applyBorder="1" applyAlignment="1">
      <alignment horizontal="center" vertical="center" wrapText="1"/>
    </xf>
    <xf numFmtId="172" fontId="41" fillId="25" borderId="16" xfId="34" applyFont="1" applyFill="1" applyBorder="1" applyAlignment="1">
      <alignment horizontal="center" vertical="center" wrapText="1"/>
    </xf>
    <xf numFmtId="44" fontId="66" fillId="25" borderId="16" xfId="341" applyFont="1" applyFill="1" applyBorder="1" applyAlignment="1">
      <alignment horizontal="center" vertical="center"/>
    </xf>
    <xf numFmtId="44" fontId="41" fillId="25" borderId="0" xfId="34" applyNumberFormat="1" applyFont="1" applyFill="1" applyBorder="1" applyAlignment="1">
      <alignment horizontal="center" vertical="center" wrapText="1"/>
    </xf>
    <xf numFmtId="167" fontId="41" fillId="25" borderId="16" xfId="62" applyNumberFormat="1" applyFont="1" applyFill="1" applyBorder="1" applyAlignment="1">
      <alignment horizontal="center" vertical="center" wrapText="1"/>
    </xf>
    <xf numFmtId="0" fontId="41" fillId="25" borderId="16" xfId="73" applyFont="1" applyFill="1" applyBorder="1" applyAlignment="1">
      <alignment horizontal="center" vertical="center" wrapText="1"/>
    </xf>
    <xf numFmtId="200" fontId="41" fillId="25" borderId="41" xfId="73" applyNumberFormat="1" applyFont="1" applyFill="1" applyBorder="1" applyAlignment="1">
      <alignment horizontal="center" vertical="center"/>
    </xf>
    <xf numFmtId="44" fontId="41" fillId="0" borderId="16" xfId="256" applyFont="1" applyFill="1" applyBorder="1" applyAlignment="1" applyProtection="1">
      <alignment vertical="center" wrapText="1"/>
      <protection locked="0"/>
    </xf>
    <xf numFmtId="172" fontId="41" fillId="0" borderId="0" xfId="36" applyFont="1" applyFill="1" applyBorder="1" applyAlignment="1" applyProtection="1">
      <alignment horizontal="center" vertical="center" wrapText="1"/>
      <protection locked="0"/>
    </xf>
    <xf numFmtId="172" fontId="41" fillId="0" borderId="0" xfId="36" applyFont="1" applyFill="1" applyBorder="1" applyAlignment="1" applyProtection="1">
      <alignment vertical="center" wrapText="1"/>
      <protection locked="0"/>
    </xf>
    <xf numFmtId="10" fontId="41" fillId="0" borderId="0" xfId="36" applyNumberFormat="1" applyFont="1" applyFill="1" applyBorder="1" applyAlignment="1" applyProtection="1">
      <alignment vertical="center" wrapText="1"/>
      <protection locked="0"/>
    </xf>
    <xf numFmtId="175" fontId="41" fillId="0" borderId="16" xfId="62" applyNumberFormat="1" applyFont="1" applyFill="1" applyBorder="1" applyAlignment="1">
      <alignment horizontal="center" vertical="center" wrapText="1"/>
    </xf>
    <xf numFmtId="0" fontId="6" fillId="0" borderId="0" xfId="0" applyFont="1" applyAlignment="1">
      <alignment wrapText="1"/>
    </xf>
    <xf numFmtId="2" fontId="42" fillId="0" borderId="16" xfId="0" applyNumberFormat="1" applyFont="1" applyBorder="1" applyAlignment="1" applyProtection="1">
      <alignment horizontal="center" vertical="center" wrapText="1"/>
      <protection locked="0"/>
    </xf>
    <xf numFmtId="0" fontId="42" fillId="0" borderId="16" xfId="0" applyFont="1" applyBorder="1" applyAlignment="1" applyProtection="1">
      <alignment horizontal="centerContinuous" vertical="center" wrapText="1"/>
      <protection locked="0"/>
    </xf>
    <xf numFmtId="172" fontId="41" fillId="0" borderId="59" xfId="36" applyFont="1" applyFill="1" applyBorder="1" applyAlignment="1" applyProtection="1">
      <alignment horizontal="center" vertical="center" wrapText="1"/>
      <protection locked="0"/>
    </xf>
    <xf numFmtId="2" fontId="41" fillId="0" borderId="59" xfId="36" applyNumberFormat="1" applyFont="1" applyFill="1" applyBorder="1" applyAlignment="1" applyProtection="1">
      <alignment horizontal="center" vertical="center" wrapText="1"/>
      <protection locked="0"/>
    </xf>
    <xf numFmtId="202" fontId="41" fillId="0" borderId="59" xfId="36" applyNumberFormat="1" applyFont="1" applyFill="1" applyBorder="1" applyAlignment="1" applyProtection="1">
      <alignment horizontal="center" vertical="center" wrapText="1"/>
      <protection locked="0"/>
    </xf>
    <xf numFmtId="2" fontId="44" fillId="0" borderId="59" xfId="0" applyNumberFormat="1" applyFont="1" applyBorder="1" applyAlignment="1">
      <alignment horizontal="center"/>
    </xf>
    <xf numFmtId="172" fontId="41" fillId="0" borderId="63" xfId="36" applyFont="1" applyFill="1" applyBorder="1" applyAlignment="1" applyProtection="1">
      <alignment vertical="center" wrapText="1"/>
      <protection locked="0"/>
    </xf>
    <xf numFmtId="172" fontId="41" fillId="0" borderId="63" xfId="36" applyFont="1" applyFill="1" applyBorder="1" applyAlignment="1" applyProtection="1">
      <alignment horizontal="center" vertical="center" wrapText="1"/>
      <protection locked="0"/>
    </xf>
    <xf numFmtId="0" fontId="40" fillId="0" borderId="63" xfId="0" applyFont="1" applyBorder="1"/>
    <xf numFmtId="10" fontId="41" fillId="0" borderId="16" xfId="36" applyNumberFormat="1" applyFont="1" applyFill="1" applyBorder="1" applyAlignment="1" applyProtection="1">
      <alignment horizontal="center" vertical="center" wrapText="1"/>
      <protection locked="0"/>
    </xf>
    <xf numFmtId="172" fontId="41" fillId="0" borderId="16" xfId="36" applyFont="1" applyFill="1" applyBorder="1" applyAlignment="1" applyProtection="1">
      <alignment horizontal="left" vertical="center" wrapText="1"/>
      <protection locked="0"/>
    </xf>
    <xf numFmtId="10" fontId="41" fillId="0" borderId="16" xfId="36" applyNumberFormat="1" applyFont="1" applyFill="1" applyBorder="1" applyAlignment="1" applyProtection="1">
      <alignment horizontal="left" vertical="center" wrapText="1"/>
      <protection locked="0"/>
    </xf>
    <xf numFmtId="203" fontId="41" fillId="0" borderId="16" xfId="36" applyNumberFormat="1" applyFont="1" applyFill="1" applyBorder="1" applyAlignment="1" applyProtection="1">
      <alignment horizontal="left" vertical="center" wrapText="1"/>
      <protection locked="0"/>
    </xf>
    <xf numFmtId="172" fontId="41" fillId="0" borderId="63" xfId="36" applyFont="1" applyFill="1" applyBorder="1" applyAlignment="1" applyProtection="1">
      <alignment horizontal="left" vertical="center" wrapText="1"/>
      <protection locked="0"/>
    </xf>
    <xf numFmtId="0" fontId="40" fillId="0" borderId="63" xfId="0" applyFont="1" applyBorder="1" applyAlignment="1">
      <alignment horizontal="left"/>
    </xf>
    <xf numFmtId="172" fontId="42" fillId="0" borderId="16" xfId="36" applyFont="1" applyFill="1" applyBorder="1" applyAlignment="1" applyProtection="1">
      <alignment vertical="center" wrapText="1"/>
      <protection locked="0"/>
    </xf>
    <xf numFmtId="172" fontId="41" fillId="0" borderId="19" xfId="262" applyFont="1" applyFill="1" applyBorder="1" applyAlignment="1" applyProtection="1">
      <alignment horizontal="center" vertical="center" wrapText="1"/>
      <protection locked="0"/>
    </xf>
    <xf numFmtId="172" fontId="41" fillId="0" borderId="19" xfId="262" applyFont="1" applyFill="1" applyBorder="1" applyAlignment="1" applyProtection="1">
      <alignment vertical="center" wrapText="1"/>
      <protection locked="0"/>
    </xf>
    <xf numFmtId="201" fontId="41" fillId="0" borderId="19" xfId="262" applyNumberFormat="1" applyFont="1" applyFill="1" applyBorder="1" applyAlignment="1" applyProtection="1">
      <alignment vertical="center" wrapText="1"/>
      <protection locked="0"/>
    </xf>
    <xf numFmtId="200" fontId="41" fillId="0" borderId="16" xfId="73" applyNumberFormat="1" applyFont="1" applyBorder="1" applyAlignment="1">
      <alignment horizontal="center" vertical="center"/>
    </xf>
    <xf numFmtId="205" fontId="54" fillId="0" borderId="16" xfId="135" applyNumberFormat="1" applyFont="1" applyBorder="1" applyAlignment="1">
      <alignment horizontal="left" vertical="center" wrapText="1"/>
    </xf>
    <xf numFmtId="0" fontId="41" fillId="0" borderId="16" xfId="89" applyFont="1" applyBorder="1" applyAlignment="1">
      <alignment horizontal="center" vertical="center"/>
    </xf>
    <xf numFmtId="49" fontId="41" fillId="0" borderId="16" xfId="131" applyNumberFormat="1" applyFont="1" applyBorder="1" applyAlignment="1">
      <alignment horizontal="center" vertical="center"/>
    </xf>
    <xf numFmtId="10" fontId="41" fillId="0" borderId="0" xfId="95" applyNumberFormat="1" applyFont="1" applyFill="1"/>
    <xf numFmtId="2" fontId="41" fillId="0" borderId="16" xfId="89" applyNumberFormat="1" applyFont="1" applyBorder="1" applyAlignment="1">
      <alignment horizontal="center" vertical="center"/>
    </xf>
    <xf numFmtId="0" fontId="0" fillId="0" borderId="16" xfId="0" applyBorder="1" applyAlignment="1">
      <alignment horizontal="center" vertical="center"/>
    </xf>
    <xf numFmtId="0" fontId="55" fillId="0" borderId="16" xfId="126" applyFont="1" applyBorder="1" applyAlignment="1">
      <alignment horizontal="center" vertical="center" wrapText="1"/>
    </xf>
    <xf numFmtId="44" fontId="41" fillId="0" borderId="0" xfId="256" applyFont="1" applyFill="1"/>
    <xf numFmtId="4" fontId="41" fillId="0" borderId="19" xfId="39" applyNumberFormat="1" applyFont="1" applyFill="1" applyBorder="1" applyAlignment="1">
      <alignment vertical="center" wrapText="1"/>
    </xf>
    <xf numFmtId="4" fontId="41" fillId="0" borderId="19" xfId="265" applyNumberFormat="1" applyFont="1" applyBorder="1" applyAlignment="1">
      <alignment vertical="center" wrapText="1"/>
    </xf>
    <xf numFmtId="10" fontId="71" fillId="0" borderId="0" xfId="95" applyNumberFormat="1" applyFont="1" applyAlignment="1">
      <alignment horizontal="left"/>
    </xf>
    <xf numFmtId="204" fontId="71" fillId="0" borderId="0" xfId="90" applyNumberFormat="1" applyFont="1"/>
    <xf numFmtId="0" fontId="41" fillId="26" borderId="16" xfId="73" applyFont="1" applyFill="1" applyBorder="1" applyAlignment="1">
      <alignment horizontal="left" vertical="center" wrapText="1"/>
    </xf>
    <xf numFmtId="0" fontId="41" fillId="26" borderId="16" xfId="73" applyFont="1" applyFill="1" applyBorder="1" applyAlignment="1">
      <alignment horizontal="center" vertical="center" wrapText="1"/>
    </xf>
    <xf numFmtId="4" fontId="41" fillId="26" borderId="16" xfId="39" applyNumberFormat="1" applyFont="1" applyFill="1" applyBorder="1" applyAlignment="1">
      <alignment vertical="center" wrapText="1"/>
    </xf>
    <xf numFmtId="167" fontId="41" fillId="26" borderId="16" xfId="62" applyNumberFormat="1" applyFont="1" applyFill="1" applyBorder="1" applyAlignment="1">
      <alignment horizontal="right" vertical="center" wrapText="1"/>
    </xf>
    <xf numFmtId="167" fontId="41" fillId="26" borderId="48" xfId="62" applyNumberFormat="1" applyFont="1" applyFill="1" applyBorder="1" applyAlignment="1">
      <alignment horizontal="right" vertical="center" wrapText="1"/>
    </xf>
    <xf numFmtId="167" fontId="41" fillId="26" borderId="38" xfId="62" applyNumberFormat="1" applyFont="1" applyFill="1" applyBorder="1" applyAlignment="1">
      <alignment horizontal="center" vertical="center" wrapText="1"/>
    </xf>
    <xf numFmtId="172" fontId="41" fillId="26" borderId="16" xfId="34" applyFont="1" applyFill="1" applyBorder="1" applyAlignment="1">
      <alignment horizontal="center" vertical="center" wrapText="1"/>
    </xf>
    <xf numFmtId="44" fontId="66" fillId="26" borderId="16" xfId="341" applyFont="1" applyFill="1" applyBorder="1" applyAlignment="1">
      <alignment horizontal="center" vertical="center"/>
    </xf>
    <xf numFmtId="44" fontId="41" fillId="26" borderId="0" xfId="34" applyNumberFormat="1" applyFont="1" applyFill="1" applyBorder="1" applyAlignment="1">
      <alignment horizontal="center" vertical="center" wrapText="1"/>
    </xf>
    <xf numFmtId="4" fontId="41" fillId="26" borderId="16" xfId="39" applyNumberFormat="1" applyFont="1" applyFill="1" applyBorder="1" applyAlignment="1">
      <alignment horizontal="center" vertical="center" wrapText="1"/>
    </xf>
    <xf numFmtId="167" fontId="41" fillId="26" borderId="16" xfId="62" applyNumberFormat="1" applyFont="1" applyFill="1" applyBorder="1" applyAlignment="1">
      <alignment horizontal="center" vertical="center" wrapText="1"/>
    </xf>
    <xf numFmtId="0" fontId="41" fillId="0" borderId="69" xfId="89" applyFont="1" applyBorder="1" applyAlignment="1">
      <alignment horizontal="center"/>
    </xf>
    <xf numFmtId="0" fontId="41" fillId="0" borderId="31" xfId="89" applyFont="1" applyBorder="1" applyAlignment="1">
      <alignment horizontal="center"/>
    </xf>
    <xf numFmtId="0" fontId="42" fillId="0" borderId="31" xfId="130" applyFont="1" applyBorder="1" applyAlignment="1">
      <alignment horizontal="center"/>
    </xf>
    <xf numFmtId="0" fontId="65" fillId="41" borderId="71" xfId="0" applyFont="1" applyFill="1" applyBorder="1" applyAlignment="1">
      <alignment horizontal="center" vertical="center"/>
    </xf>
    <xf numFmtId="0" fontId="42" fillId="24" borderId="31" xfId="73" applyFont="1" applyFill="1" applyBorder="1" applyAlignment="1">
      <alignment horizontal="left" vertical="center"/>
    </xf>
    <xf numFmtId="167" fontId="41" fillId="0" borderId="71" xfId="62" applyNumberFormat="1" applyFont="1" applyFill="1" applyBorder="1" applyAlignment="1">
      <alignment horizontal="center" vertical="center" wrapText="1"/>
    </xf>
    <xf numFmtId="172" fontId="41" fillId="0" borderId="59" xfId="34" applyFont="1" applyFill="1" applyBorder="1" applyAlignment="1">
      <alignment horizontal="center" vertical="center" wrapText="1"/>
    </xf>
    <xf numFmtId="172" fontId="41" fillId="0" borderId="56" xfId="34" applyFont="1" applyFill="1" applyBorder="1" applyAlignment="1">
      <alignment horizontal="center" vertical="center" wrapText="1"/>
    </xf>
    <xf numFmtId="167" fontId="42" fillId="0" borderId="71" xfId="34" applyNumberFormat="1" applyFont="1" applyFill="1" applyBorder="1" applyAlignment="1">
      <alignment horizontal="center" vertical="center" wrapText="1"/>
    </xf>
    <xf numFmtId="167" fontId="41" fillId="0" borderId="63" xfId="62" applyNumberFormat="1" applyFont="1" applyFill="1" applyBorder="1" applyAlignment="1">
      <alignment horizontal="center" vertical="center" wrapText="1"/>
    </xf>
    <xf numFmtId="175" fontId="42" fillId="0" borderId="71" xfId="39" applyNumberFormat="1" applyFont="1" applyFill="1" applyBorder="1" applyAlignment="1">
      <alignment horizontal="center" vertical="center"/>
    </xf>
    <xf numFmtId="4" fontId="41" fillId="0" borderId="59" xfId="39" applyNumberFormat="1" applyFont="1" applyBorder="1" applyAlignment="1">
      <alignment vertical="center" wrapText="1"/>
    </xf>
    <xf numFmtId="172" fontId="41" fillId="0" borderId="64" xfId="34" applyFont="1" applyFill="1" applyBorder="1" applyAlignment="1">
      <alignment horizontal="center" vertical="center" wrapText="1"/>
    </xf>
    <xf numFmtId="172" fontId="41" fillId="0" borderId="64" xfId="34" applyFont="1" applyFill="1" applyBorder="1" applyAlignment="1">
      <alignment vertical="center" wrapText="1"/>
    </xf>
    <xf numFmtId="167" fontId="41" fillId="0" borderId="65" xfId="62" applyNumberFormat="1" applyFont="1" applyBorder="1" applyAlignment="1">
      <alignment horizontal="right" vertical="center" wrapText="1"/>
    </xf>
    <xf numFmtId="44" fontId="66" fillId="0" borderId="65" xfId="341" applyFont="1" applyFill="1" applyBorder="1" applyAlignment="1">
      <alignment horizontal="center" vertical="center"/>
    </xf>
    <xf numFmtId="4" fontId="41" fillId="0" borderId="64" xfId="39" applyNumberFormat="1" applyFont="1" applyFill="1" applyBorder="1" applyAlignment="1">
      <alignment horizontal="center" vertical="center" wrapText="1"/>
    </xf>
    <xf numFmtId="167" fontId="41" fillId="0" borderId="65" xfId="62" applyNumberFormat="1" applyFont="1" applyFill="1" applyBorder="1" applyAlignment="1">
      <alignment horizontal="right" vertical="center" wrapText="1"/>
    </xf>
    <xf numFmtId="167" fontId="42" fillId="0" borderId="65" xfId="62" applyNumberFormat="1" applyFont="1" applyBorder="1" applyAlignment="1">
      <alignment horizontal="right" vertical="center" wrapText="1"/>
    </xf>
    <xf numFmtId="175" fontId="42" fillId="0" borderId="65" xfId="39" applyNumberFormat="1" applyFont="1" applyFill="1" applyBorder="1" applyAlignment="1">
      <alignment horizontal="center" vertical="center"/>
    </xf>
    <xf numFmtId="175" fontId="42" fillId="0" borderId="64" xfId="39" applyNumberFormat="1" applyFont="1" applyFill="1" applyBorder="1" applyAlignment="1">
      <alignment horizontal="center" vertical="center"/>
    </xf>
    <xf numFmtId="4" fontId="41" fillId="0" borderId="59" xfId="39" applyNumberFormat="1" applyFont="1" applyFill="1" applyBorder="1" applyAlignment="1">
      <alignment horizontal="center" vertical="center" wrapText="1"/>
    </xf>
    <xf numFmtId="175" fontId="42" fillId="0" borderId="63" xfId="39" applyNumberFormat="1" applyFont="1" applyFill="1" applyBorder="1" applyAlignment="1">
      <alignment horizontal="center" vertical="center"/>
    </xf>
    <xf numFmtId="183" fontId="42" fillId="24" borderId="72" xfId="73" applyNumberFormat="1" applyFont="1" applyFill="1" applyBorder="1" applyAlignment="1">
      <alignment vertical="center"/>
    </xf>
    <xf numFmtId="44" fontId="41" fillId="0" borderId="31" xfId="34" applyNumberFormat="1" applyFont="1" applyFill="1" applyBorder="1" applyAlignment="1">
      <alignment horizontal="center" vertical="center" wrapText="1"/>
    </xf>
    <xf numFmtId="0" fontId="42" fillId="24" borderId="71" xfId="73" applyFont="1" applyFill="1" applyBorder="1" applyAlignment="1">
      <alignment horizontal="left" vertical="center"/>
    </xf>
    <xf numFmtId="0" fontId="42" fillId="24" borderId="71" xfId="73" applyFont="1" applyFill="1" applyBorder="1" applyAlignment="1">
      <alignment horizontal="center" vertical="center"/>
    </xf>
    <xf numFmtId="183" fontId="42" fillId="24" borderId="73" xfId="73" applyNumberFormat="1" applyFont="1" applyFill="1" applyBorder="1" applyAlignment="1">
      <alignment vertical="center"/>
    </xf>
    <xf numFmtId="183" fontId="42" fillId="26" borderId="74" xfId="73" applyNumberFormat="1" applyFont="1" applyFill="1" applyBorder="1" applyAlignment="1">
      <alignment vertical="center"/>
    </xf>
    <xf numFmtId="179" fontId="41" fillId="0" borderId="71" xfId="129" applyNumberFormat="1" applyFont="1" applyFill="1" applyBorder="1" applyAlignment="1">
      <alignment vertical="center"/>
    </xf>
    <xf numFmtId="183" fontId="42" fillId="24" borderId="71" xfId="73" applyNumberFormat="1" applyFont="1" applyFill="1" applyBorder="1" applyAlignment="1">
      <alignment vertical="center"/>
    </xf>
    <xf numFmtId="183" fontId="42" fillId="0" borderId="31" xfId="73" applyNumberFormat="1" applyFont="1" applyBorder="1" applyAlignment="1">
      <alignment vertical="center"/>
    </xf>
    <xf numFmtId="44" fontId="41" fillId="0" borderId="71" xfId="62" applyNumberFormat="1" applyFont="1" applyFill="1" applyBorder="1" applyAlignment="1">
      <alignment horizontal="center" vertical="center" wrapText="1"/>
    </xf>
    <xf numFmtId="167" fontId="41" fillId="0" borderId="65" xfId="62" applyNumberFormat="1" applyFont="1" applyFill="1" applyBorder="1" applyAlignment="1">
      <alignment horizontal="center" vertical="center" wrapText="1"/>
    </xf>
    <xf numFmtId="44" fontId="42" fillId="0" borderId="65" xfId="34" applyNumberFormat="1" applyFont="1" applyFill="1" applyBorder="1" applyAlignment="1">
      <alignment horizontal="center" vertical="center" wrapText="1"/>
    </xf>
    <xf numFmtId="172" fontId="41" fillId="25" borderId="64" xfId="34" applyFont="1" applyFill="1" applyBorder="1" applyAlignment="1">
      <alignment horizontal="center" vertical="center" wrapText="1"/>
    </xf>
    <xf numFmtId="167" fontId="41" fillId="25" borderId="71" xfId="62" applyNumberFormat="1" applyFont="1" applyFill="1" applyBorder="1" applyAlignment="1">
      <alignment horizontal="center" vertical="center" wrapText="1"/>
    </xf>
    <xf numFmtId="4" fontId="41" fillId="0" borderId="64" xfId="39" applyNumberFormat="1" applyFont="1" applyFill="1" applyBorder="1" applyAlignment="1">
      <alignment vertical="center" wrapText="1"/>
    </xf>
    <xf numFmtId="0" fontId="41" fillId="0" borderId="59" xfId="73" applyFont="1" applyBorder="1" applyAlignment="1">
      <alignment horizontal="left" vertical="center" wrapText="1"/>
    </xf>
    <xf numFmtId="0" fontId="41" fillId="0" borderId="59" xfId="73" applyFont="1" applyBorder="1" applyAlignment="1">
      <alignment horizontal="center" vertical="center"/>
    </xf>
    <xf numFmtId="167" fontId="41" fillId="0" borderId="59" xfId="62" applyNumberFormat="1" applyFont="1" applyBorder="1" applyAlignment="1">
      <alignment horizontal="right" vertical="center" wrapText="1"/>
    </xf>
    <xf numFmtId="44" fontId="41" fillId="0" borderId="64" xfId="34" applyNumberFormat="1" applyFont="1" applyFill="1" applyBorder="1" applyAlignment="1">
      <alignment horizontal="center" vertical="center" wrapText="1"/>
    </xf>
    <xf numFmtId="167" fontId="42" fillId="0" borderId="71" xfId="89" applyNumberFormat="1" applyFont="1" applyBorder="1" applyAlignment="1">
      <alignment horizontal="center"/>
    </xf>
    <xf numFmtId="44" fontId="42" fillId="0" borderId="59" xfId="34" applyNumberFormat="1" applyFont="1" applyFill="1" applyBorder="1" applyAlignment="1">
      <alignment horizontal="center" vertical="center" wrapText="1"/>
    </xf>
    <xf numFmtId="0" fontId="42" fillId="24" borderId="31" xfId="73" applyFont="1" applyFill="1" applyBorder="1" applyAlignment="1">
      <alignment horizontal="center" vertical="center"/>
    </xf>
    <xf numFmtId="172" fontId="41" fillId="26" borderId="64" xfId="34" applyFont="1" applyFill="1" applyBorder="1" applyAlignment="1">
      <alignment horizontal="center" vertical="center" wrapText="1"/>
    </xf>
    <xf numFmtId="167" fontId="41" fillId="26" borderId="71" xfId="62" applyNumberFormat="1" applyFont="1" applyFill="1" applyBorder="1" applyAlignment="1">
      <alignment horizontal="center" vertical="center" wrapText="1"/>
    </xf>
    <xf numFmtId="44" fontId="41" fillId="24" borderId="59" xfId="34" applyNumberFormat="1" applyFont="1" applyFill="1" applyBorder="1" applyAlignment="1">
      <alignment horizontal="center" vertical="center" wrapText="1"/>
    </xf>
    <xf numFmtId="44" fontId="41" fillId="24" borderId="31" xfId="34" applyNumberFormat="1" applyFont="1" applyFill="1" applyBorder="1" applyAlignment="1">
      <alignment horizontal="center" vertical="center" wrapText="1"/>
    </xf>
    <xf numFmtId="183" fontId="42" fillId="24" borderId="75" xfId="73" applyNumberFormat="1" applyFont="1" applyFill="1" applyBorder="1" applyAlignment="1">
      <alignment vertical="center"/>
    </xf>
    <xf numFmtId="182" fontId="42" fillId="0" borderId="31" xfId="131" applyNumberFormat="1" applyFont="1" applyBorder="1" applyAlignment="1">
      <alignment horizontal="center" vertical="center"/>
    </xf>
    <xf numFmtId="179" fontId="41" fillId="35" borderId="71" xfId="129" applyNumberFormat="1" applyFont="1" applyFill="1" applyBorder="1" applyAlignment="1">
      <alignment vertical="center"/>
    </xf>
    <xf numFmtId="0" fontId="42" fillId="0" borderId="31" xfId="128" applyFont="1" applyBorder="1" applyAlignment="1">
      <alignment horizontal="center" vertical="center"/>
    </xf>
    <xf numFmtId="179" fontId="41" fillId="0" borderId="78" xfId="129" applyNumberFormat="1" applyFont="1" applyBorder="1" applyAlignment="1">
      <alignment vertical="center"/>
    </xf>
    <xf numFmtId="179" fontId="41" fillId="0" borderId="71" xfId="129" applyNumberFormat="1" applyFont="1" applyBorder="1" applyAlignment="1">
      <alignment vertical="center"/>
    </xf>
    <xf numFmtId="183" fontId="42" fillId="24" borderId="74" xfId="73" applyNumberFormat="1" applyFont="1" applyFill="1" applyBorder="1" applyAlignment="1">
      <alignment vertical="center"/>
    </xf>
    <xf numFmtId="179" fontId="41" fillId="0" borderId="0" xfId="129" applyNumberFormat="1" applyFont="1" applyBorder="1"/>
    <xf numFmtId="39" fontId="42" fillId="0" borderId="0" xfId="129" applyNumberFormat="1" applyFont="1" applyBorder="1" applyAlignment="1">
      <alignment vertical="center"/>
    </xf>
    <xf numFmtId="39" fontId="42" fillId="0" borderId="0" xfId="129" applyNumberFormat="1" applyFont="1" applyFill="1" applyBorder="1" applyAlignment="1">
      <alignment horizontal="center" vertical="center"/>
    </xf>
    <xf numFmtId="39" fontId="42" fillId="0" borderId="0" xfId="129" applyNumberFormat="1" applyFont="1" applyBorder="1" applyAlignment="1">
      <alignment horizontal="center" vertical="center"/>
    </xf>
    <xf numFmtId="39" fontId="42" fillId="0" borderId="31" xfId="129" applyNumberFormat="1" applyFont="1" applyBorder="1" applyAlignment="1">
      <alignment horizontal="center" vertical="center"/>
    </xf>
    <xf numFmtId="0" fontId="41" fillId="0" borderId="31" xfId="79" applyFont="1" applyBorder="1" applyAlignment="1">
      <alignment horizontal="center" vertical="center"/>
    </xf>
    <xf numFmtId="182" fontId="42" fillId="0" borderId="31" xfId="60" applyNumberFormat="1" applyFont="1" applyFill="1" applyBorder="1" applyAlignment="1">
      <alignment horizontal="center" vertical="center"/>
    </xf>
    <xf numFmtId="10" fontId="41" fillId="0" borderId="31" xfId="95" applyNumberFormat="1" applyFont="1" applyFill="1" applyBorder="1" applyAlignment="1">
      <alignment horizontal="center" vertical="center"/>
    </xf>
    <xf numFmtId="0" fontId="41" fillId="0" borderId="57" xfId="0" applyFont="1" applyBorder="1" applyAlignment="1">
      <alignment vertical="center" wrapText="1"/>
    </xf>
    <xf numFmtId="0" fontId="41" fillId="0" borderId="58" xfId="0" applyFont="1" applyBorder="1" applyAlignment="1">
      <alignment vertical="center" wrapText="1"/>
    </xf>
    <xf numFmtId="0" fontId="41" fillId="25" borderId="31" xfId="130" applyFont="1" applyFill="1" applyBorder="1" applyAlignment="1">
      <alignment horizontal="center" vertical="center" wrapText="1"/>
    </xf>
    <xf numFmtId="0" fontId="41" fillId="0" borderId="79" xfId="90" applyFont="1" applyBorder="1"/>
    <xf numFmtId="0" fontId="41" fillId="0" borderId="80" xfId="89" applyFont="1" applyBorder="1"/>
    <xf numFmtId="0" fontId="41" fillId="0" borderId="80" xfId="89" applyFont="1" applyBorder="1" applyAlignment="1">
      <alignment horizontal="center"/>
    </xf>
    <xf numFmtId="0" fontId="41" fillId="0" borderId="81" xfId="89" applyFont="1" applyBorder="1" applyAlignment="1">
      <alignment horizontal="center"/>
    </xf>
    <xf numFmtId="0" fontId="42" fillId="25" borderId="16" xfId="89" applyFont="1" applyFill="1" applyBorder="1" applyAlignment="1">
      <alignment vertical="center" wrapText="1"/>
    </xf>
    <xf numFmtId="0" fontId="41" fillId="25" borderId="16" xfId="89" applyFont="1" applyFill="1" applyBorder="1" applyAlignment="1">
      <alignment horizontal="left" vertical="center" wrapText="1"/>
    </xf>
    <xf numFmtId="0" fontId="42" fillId="25" borderId="16" xfId="89" applyFont="1" applyFill="1" applyBorder="1" applyAlignment="1">
      <alignment horizontal="left" vertical="center" wrapText="1"/>
    </xf>
    <xf numFmtId="0" fontId="42" fillId="24" borderId="12" xfId="73" applyFont="1" applyFill="1" applyBorder="1" applyAlignment="1">
      <alignment vertical="center"/>
    </xf>
    <xf numFmtId="0" fontId="42" fillId="24" borderId="13" xfId="73" applyFont="1" applyFill="1" applyBorder="1" applyAlignment="1">
      <alignment vertical="center"/>
    </xf>
    <xf numFmtId="0" fontId="42" fillId="45" borderId="45" xfId="0" applyFont="1" applyFill="1" applyBorder="1" applyAlignment="1">
      <alignment horizontal="center" vertical="center" wrapText="1"/>
    </xf>
    <xf numFmtId="0" fontId="42" fillId="25" borderId="67" xfId="73" applyFont="1" applyFill="1" applyBorder="1" applyAlignment="1">
      <alignment horizontal="center" vertical="center" wrapText="1"/>
    </xf>
    <xf numFmtId="0" fontId="42" fillId="25" borderId="68" xfId="73" applyFont="1" applyFill="1" applyBorder="1" applyAlignment="1">
      <alignment horizontal="center" vertical="center" wrapText="1"/>
    </xf>
    <xf numFmtId="0" fontId="65" fillId="41" borderId="66" xfId="0" applyFont="1" applyFill="1" applyBorder="1" applyAlignment="1">
      <alignment horizontal="center" vertical="center"/>
    </xf>
    <xf numFmtId="0" fontId="65" fillId="41" borderId="82" xfId="0" applyFont="1" applyFill="1" applyBorder="1" applyAlignment="1">
      <alignment horizontal="center" vertical="center"/>
    </xf>
    <xf numFmtId="0" fontId="42" fillId="45" borderId="51" xfId="0" applyFont="1" applyFill="1" applyBorder="1" applyAlignment="1">
      <alignment horizontal="center" vertical="center"/>
    </xf>
    <xf numFmtId="0" fontId="42" fillId="0" borderId="80" xfId="89" applyFont="1" applyBorder="1" applyAlignment="1">
      <alignment horizontal="center"/>
    </xf>
    <xf numFmtId="0" fontId="41" fillId="0" borderId="63" xfId="0" applyFont="1" applyBorder="1" applyAlignment="1" applyProtection="1">
      <alignment horizontal="center" vertical="center" wrapText="1"/>
      <protection locked="0"/>
    </xf>
    <xf numFmtId="0" fontId="42" fillId="28" borderId="65" xfId="0" applyFont="1" applyFill="1" applyBorder="1" applyAlignment="1" applyProtection="1">
      <alignment horizontal="center" vertical="center" wrapText="1"/>
      <protection locked="0"/>
    </xf>
    <xf numFmtId="175" fontId="42" fillId="0" borderId="83" xfId="39" applyNumberFormat="1" applyFont="1" applyFill="1" applyBorder="1" applyAlignment="1">
      <alignment horizontal="center" vertical="center"/>
    </xf>
    <xf numFmtId="183" fontId="42" fillId="24" borderId="16" xfId="73" applyNumberFormat="1" applyFont="1" applyFill="1" applyBorder="1" applyAlignment="1">
      <alignment horizontal="center" vertical="center"/>
    </xf>
    <xf numFmtId="172" fontId="41" fillId="0" borderId="59" xfId="36" applyFont="1" applyFill="1" applyBorder="1" applyAlignment="1" applyProtection="1">
      <alignment vertical="center" wrapText="1"/>
      <protection locked="0"/>
    </xf>
    <xf numFmtId="0" fontId="40" fillId="0" borderId="59" xfId="0" applyFont="1" applyBorder="1" applyAlignment="1">
      <alignment horizontal="center"/>
    </xf>
    <xf numFmtId="0" fontId="42" fillId="25" borderId="0" xfId="89" applyFont="1" applyFill="1" applyAlignment="1">
      <alignment horizontal="left" vertical="center" wrapText="1"/>
    </xf>
    <xf numFmtId="0" fontId="42" fillId="0" borderId="0" xfId="130" applyFont="1" applyAlignment="1">
      <alignment horizontal="center"/>
    </xf>
    <xf numFmtId="0" fontId="65" fillId="41" borderId="84" xfId="0" applyFont="1" applyFill="1" applyBorder="1" applyAlignment="1">
      <alignment horizontal="center" vertical="center"/>
    </xf>
    <xf numFmtId="0" fontId="42" fillId="24" borderId="0" xfId="73" applyFont="1" applyFill="1" applyAlignment="1">
      <alignment vertical="center"/>
    </xf>
    <xf numFmtId="0" fontId="42" fillId="24" borderId="0" xfId="73" applyFont="1" applyFill="1" applyAlignment="1">
      <alignment horizontal="left" vertical="center"/>
    </xf>
    <xf numFmtId="0" fontId="41" fillId="0" borderId="0" xfId="74" applyFont="1" applyAlignment="1">
      <alignment horizontal="center" vertical="center"/>
    </xf>
    <xf numFmtId="0" fontId="41" fillId="0" borderId="0" xfId="74" applyFont="1" applyAlignment="1">
      <alignment horizontal="left" vertical="center" wrapText="1"/>
    </xf>
    <xf numFmtId="0" fontId="41" fillId="0" borderId="0" xfId="73" applyFont="1" applyAlignment="1">
      <alignment horizontal="center" vertical="center"/>
    </xf>
    <xf numFmtId="0" fontId="41" fillId="0" borderId="0" xfId="73" applyFont="1" applyAlignment="1">
      <alignment horizontal="left" vertical="center" wrapText="1"/>
    </xf>
    <xf numFmtId="2" fontId="41" fillId="0" borderId="0" xfId="73" applyNumberFormat="1" applyFont="1" applyAlignment="1">
      <alignment horizontal="center" vertical="center"/>
    </xf>
    <xf numFmtId="0" fontId="41" fillId="0" borderId="0" xfId="73" applyFont="1" applyAlignment="1">
      <alignment horizontal="left" vertical="center"/>
    </xf>
    <xf numFmtId="49" fontId="42" fillId="0" borderId="0" xfId="131" applyNumberFormat="1" applyFont="1" applyAlignment="1">
      <alignment horizontal="right" vertical="center"/>
    </xf>
    <xf numFmtId="182" fontId="42" fillId="0" borderId="0" xfId="131" applyNumberFormat="1" applyFont="1" applyAlignment="1">
      <alignment vertical="center"/>
    </xf>
    <xf numFmtId="182" fontId="42" fillId="0" borderId="0" xfId="131" applyNumberFormat="1" applyFont="1" applyAlignment="1">
      <alignment horizontal="center" vertical="center"/>
    </xf>
    <xf numFmtId="0" fontId="0" fillId="0" borderId="0" xfId="0" applyAlignment="1">
      <alignment horizontal="center" vertical="center"/>
    </xf>
    <xf numFmtId="0" fontId="41" fillId="0" borderId="0" xfId="128" applyFont="1"/>
    <xf numFmtId="0" fontId="41" fillId="0" borderId="0" xfId="128" applyFont="1" applyAlignment="1">
      <alignment horizontal="center"/>
    </xf>
    <xf numFmtId="0" fontId="41" fillId="0" borderId="0" xfId="128" applyFont="1" applyAlignment="1">
      <alignment horizontal="center" vertical="center" wrapText="1"/>
    </xf>
    <xf numFmtId="183" fontId="42" fillId="0" borderId="0" xfId="73" applyNumberFormat="1" applyFont="1" applyAlignment="1">
      <alignment vertical="center"/>
    </xf>
    <xf numFmtId="183" fontId="42" fillId="0" borderId="0" xfId="73" applyNumberFormat="1" applyFont="1" applyAlignment="1">
      <alignment horizontal="center" vertical="center"/>
    </xf>
    <xf numFmtId="0" fontId="42" fillId="0" borderId="0" xfId="128" applyFont="1" applyAlignment="1">
      <alignment horizontal="right" vertical="center"/>
    </xf>
    <xf numFmtId="0" fontId="42" fillId="0" borderId="0" xfId="128" applyFont="1" applyAlignment="1">
      <alignment horizontal="center" vertical="center"/>
    </xf>
    <xf numFmtId="0" fontId="42" fillId="45" borderId="0" xfId="0" applyFont="1" applyFill="1" applyAlignment="1">
      <alignment horizontal="center" vertical="center" wrapText="1"/>
    </xf>
    <xf numFmtId="0" fontId="42" fillId="45" borderId="0" xfId="0" applyFont="1" applyFill="1" applyAlignment="1">
      <alignment horizontal="center" vertical="center"/>
    </xf>
    <xf numFmtId="0" fontId="42" fillId="24" borderId="0" xfId="73" applyFont="1" applyFill="1" applyAlignment="1">
      <alignment horizontal="center" vertical="center"/>
    </xf>
    <xf numFmtId="0" fontId="42" fillId="0" borderId="0" xfId="73" applyFont="1" applyAlignment="1">
      <alignment vertical="center"/>
    </xf>
    <xf numFmtId="183" fontId="42" fillId="24" borderId="0" xfId="73" applyNumberFormat="1" applyFont="1" applyFill="1" applyAlignment="1">
      <alignment vertical="center"/>
    </xf>
    <xf numFmtId="183" fontId="42" fillId="24" borderId="0" xfId="73" applyNumberFormat="1" applyFont="1" applyFill="1" applyAlignment="1">
      <alignment horizontal="center" vertical="center"/>
    </xf>
    <xf numFmtId="2" fontId="41" fillId="0" borderId="0" xfId="128" applyNumberFormat="1" applyFont="1"/>
    <xf numFmtId="0" fontId="41" fillId="0" borderId="0" xfId="79" applyFont="1" applyAlignment="1">
      <alignment horizontal="center" vertical="center"/>
    </xf>
    <xf numFmtId="0" fontId="41" fillId="0" borderId="85" xfId="0" applyFont="1" applyBorder="1" applyAlignment="1">
      <alignment vertical="center" wrapText="1"/>
    </xf>
    <xf numFmtId="0" fontId="41" fillId="0" borderId="0" xfId="0" applyFont="1" applyAlignment="1">
      <alignment vertical="center" wrapText="1"/>
    </xf>
    <xf numFmtId="0" fontId="41" fillId="0" borderId="0" xfId="130" applyFont="1" applyAlignment="1">
      <alignment horizontal="center" vertical="center" wrapText="1"/>
    </xf>
    <xf numFmtId="0" fontId="41" fillId="25" borderId="0" xfId="130" applyFont="1" applyFill="1" applyAlignment="1">
      <alignment horizontal="center" vertical="center" wrapText="1"/>
    </xf>
    <xf numFmtId="0" fontId="41" fillId="0" borderId="0" xfId="228" applyFont="1" applyAlignment="1">
      <alignment horizontal="center" vertical="center"/>
    </xf>
    <xf numFmtId="0" fontId="42" fillId="25" borderId="0" xfId="130" applyFont="1" applyFill="1" applyAlignment="1">
      <alignment horizontal="center" vertical="center" wrapText="1"/>
    </xf>
    <xf numFmtId="0" fontId="60" fillId="25" borderId="0" xfId="130" applyFont="1" applyFill="1" applyAlignment="1">
      <alignment horizontal="center" vertical="center" wrapText="1"/>
    </xf>
    <xf numFmtId="0" fontId="60" fillId="25" borderId="0" xfId="130" applyFont="1" applyFill="1" applyAlignment="1">
      <alignment vertical="center" wrapText="1"/>
    </xf>
    <xf numFmtId="0" fontId="60" fillId="0" borderId="0" xfId="228" applyFont="1" applyAlignment="1">
      <alignment horizontal="center" vertical="center"/>
    </xf>
    <xf numFmtId="0" fontId="59" fillId="25" borderId="0" xfId="130" applyFont="1" applyFill="1" applyAlignment="1">
      <alignment horizontal="center" vertical="center" wrapText="1"/>
    </xf>
    <xf numFmtId="0" fontId="59" fillId="25" borderId="0" xfId="130" applyFont="1" applyFill="1" applyAlignment="1">
      <alignment vertical="center" wrapText="1"/>
    </xf>
    <xf numFmtId="0" fontId="59" fillId="0" borderId="80" xfId="89" applyFont="1" applyBorder="1" applyAlignment="1">
      <alignment horizontal="center"/>
    </xf>
    <xf numFmtId="0" fontId="59" fillId="0" borderId="80" xfId="89" applyFont="1" applyBorder="1"/>
    <xf numFmtId="0" fontId="60" fillId="0" borderId="80" xfId="89" applyFont="1" applyBorder="1"/>
    <xf numFmtId="0" fontId="60" fillId="0" borderId="80" xfId="89" applyFont="1" applyBorder="1" applyAlignment="1">
      <alignment horizontal="center"/>
    </xf>
    <xf numFmtId="44" fontId="41" fillId="0" borderId="64" xfId="256" applyFont="1" applyFill="1" applyBorder="1" applyAlignment="1" applyProtection="1">
      <alignment horizontal="center" vertical="center" wrapText="1"/>
      <protection locked="0"/>
    </xf>
    <xf numFmtId="0" fontId="40" fillId="0" borderId="88" xfId="0" applyFont="1" applyBorder="1" applyAlignment="1">
      <alignment horizontal="left"/>
    </xf>
    <xf numFmtId="2" fontId="40" fillId="0" borderId="89" xfId="0" applyNumberFormat="1" applyFont="1" applyBorder="1"/>
    <xf numFmtId="2" fontId="40" fillId="0" borderId="71" xfId="0" applyNumberFormat="1" applyFont="1" applyBorder="1" applyAlignment="1">
      <alignment horizontal="center"/>
    </xf>
    <xf numFmtId="2" fontId="40" fillId="0" borderId="71" xfId="0" applyNumberFormat="1" applyFont="1" applyBorder="1" applyAlignment="1">
      <alignment horizontal="centerContinuous"/>
    </xf>
    <xf numFmtId="0" fontId="41" fillId="0" borderId="91" xfId="0" applyFont="1" applyBorder="1" applyAlignment="1">
      <alignment horizontal="center"/>
    </xf>
    <xf numFmtId="0" fontId="41" fillId="0" borderId="63" xfId="0" applyFont="1" applyBorder="1" applyAlignment="1">
      <alignment horizontal="center"/>
    </xf>
    <xf numFmtId="0" fontId="41" fillId="0" borderId="92" xfId="0" applyFont="1" applyBorder="1" applyAlignment="1">
      <alignment horizontal="center"/>
    </xf>
    <xf numFmtId="0" fontId="42" fillId="27" borderId="90" xfId="0" applyFont="1" applyFill="1" applyBorder="1" applyAlignment="1" applyProtection="1">
      <alignment horizontal="center" vertical="center" wrapText="1"/>
      <protection locked="0"/>
    </xf>
    <xf numFmtId="2" fontId="39" fillId="27" borderId="71" xfId="0" applyNumberFormat="1" applyFont="1" applyFill="1" applyBorder="1" applyAlignment="1">
      <alignment horizontal="centerContinuous"/>
    </xf>
    <xf numFmtId="0" fontId="41" fillId="0" borderId="91" xfId="0" applyFont="1" applyBorder="1" applyAlignment="1" applyProtection="1">
      <alignment horizontal="center" vertical="center" wrapText="1"/>
      <protection locked="0"/>
    </xf>
    <xf numFmtId="0" fontId="41" fillId="0" borderId="92" xfId="0" applyFont="1" applyBorder="1" applyAlignment="1" applyProtection="1">
      <alignment horizontal="center" vertical="center" wrapText="1"/>
      <protection locked="0"/>
    </xf>
    <xf numFmtId="0" fontId="42" fillId="31" borderId="90" xfId="0" applyFont="1" applyFill="1" applyBorder="1" applyAlignment="1" applyProtection="1">
      <alignment horizontal="center" vertical="center" wrapText="1"/>
      <protection locked="0"/>
    </xf>
    <xf numFmtId="2" fontId="39" fillId="28" borderId="71" xfId="0" applyNumberFormat="1" applyFont="1" applyFill="1" applyBorder="1" applyAlignment="1">
      <alignment horizontal="center" vertical="center"/>
    </xf>
    <xf numFmtId="0" fontId="41" fillId="0" borderId="90" xfId="0" applyFont="1" applyBorder="1" applyAlignment="1" applyProtection="1">
      <alignment vertical="center" wrapText="1"/>
      <protection locked="0"/>
    </xf>
    <xf numFmtId="2" fontId="40" fillId="0" borderId="71" xfId="0" applyNumberFormat="1" applyFont="1" applyBorder="1"/>
    <xf numFmtId="0" fontId="42" fillId="0" borderId="90" xfId="0" applyFont="1" applyBorder="1" applyAlignment="1" applyProtection="1">
      <alignment horizontal="center" vertical="center" wrapText="1"/>
      <protection locked="0"/>
    </xf>
    <xf numFmtId="2" fontId="42" fillId="0" borderId="71" xfId="36" applyNumberFormat="1" applyFont="1" applyFill="1" applyBorder="1" applyAlignment="1" applyProtection="1">
      <alignment horizontal="center" vertical="center" wrapText="1"/>
      <protection locked="0"/>
    </xf>
    <xf numFmtId="16" fontId="41" fillId="25" borderId="90" xfId="0" applyNumberFormat="1" applyFont="1" applyFill="1" applyBorder="1" applyAlignment="1" applyProtection="1">
      <alignment vertical="center" wrapText="1"/>
      <protection locked="0"/>
    </xf>
    <xf numFmtId="2" fontId="41" fillId="0" borderId="71" xfId="36" applyNumberFormat="1" applyFont="1" applyFill="1" applyBorder="1" applyAlignment="1" applyProtection="1">
      <alignment vertical="center" wrapText="1"/>
      <protection locked="0"/>
    </xf>
    <xf numFmtId="16" fontId="41" fillId="0" borderId="90" xfId="0" applyNumberFormat="1" applyFont="1" applyBorder="1" applyAlignment="1" applyProtection="1">
      <alignment horizontal="left" vertical="center" wrapText="1"/>
      <protection locked="0"/>
    </xf>
    <xf numFmtId="0" fontId="0" fillId="0" borderId="30" xfId="0" applyBorder="1"/>
    <xf numFmtId="0" fontId="0" fillId="0" borderId="31" xfId="0" applyBorder="1"/>
    <xf numFmtId="0" fontId="42" fillId="28" borderId="90" xfId="0" applyFont="1" applyFill="1" applyBorder="1" applyAlignment="1" applyProtection="1">
      <alignment horizontal="center" vertical="center" wrapText="1"/>
      <protection locked="0"/>
    </xf>
    <xf numFmtId="0" fontId="44" fillId="0" borderId="0" xfId="0" applyFont="1"/>
    <xf numFmtId="0" fontId="0" fillId="0" borderId="90" xfId="0" applyBorder="1"/>
    <xf numFmtId="2" fontId="41" fillId="0" borderId="71" xfId="262" applyNumberFormat="1" applyFont="1" applyFill="1" applyBorder="1" applyAlignment="1" applyProtection="1">
      <alignment vertical="center" wrapText="1"/>
      <protection locked="0"/>
    </xf>
    <xf numFmtId="4" fontId="39" fillId="28" borderId="71" xfId="0" applyNumberFormat="1" applyFont="1" applyFill="1" applyBorder="1" applyAlignment="1">
      <alignment horizontal="center" vertical="center"/>
    </xf>
    <xf numFmtId="0" fontId="42" fillId="0" borderId="90" xfId="0" applyFont="1" applyBorder="1" applyAlignment="1" applyProtection="1">
      <alignment horizontal="left" vertical="center" wrapText="1"/>
      <protection locked="0"/>
    </xf>
    <xf numFmtId="0" fontId="46" fillId="29" borderId="90" xfId="0" applyFont="1" applyFill="1" applyBorder="1" applyAlignment="1">
      <alignment horizontal="center" vertical="center"/>
    </xf>
    <xf numFmtId="0" fontId="41" fillId="0" borderId="90" xfId="0" applyFont="1" applyBorder="1" applyAlignment="1" applyProtection="1">
      <alignment horizontal="center" vertical="center" wrapText="1"/>
      <protection locked="0"/>
    </xf>
    <xf numFmtId="0" fontId="41" fillId="0" borderId="93" xfId="0" applyFont="1" applyBorder="1" applyAlignment="1" applyProtection="1">
      <alignment horizontal="center" vertical="center" wrapText="1"/>
      <protection locked="0"/>
    </xf>
    <xf numFmtId="0" fontId="44" fillId="0" borderId="90" xfId="0" applyFont="1" applyBorder="1" applyAlignment="1">
      <alignment horizontal="center" vertical="center"/>
    </xf>
    <xf numFmtId="0" fontId="42" fillId="26" borderId="93" xfId="0" applyFont="1" applyFill="1" applyBorder="1" applyAlignment="1" applyProtection="1">
      <alignment horizontal="left" vertical="center" wrapText="1"/>
      <protection locked="0"/>
    </xf>
    <xf numFmtId="172" fontId="41" fillId="26" borderId="59" xfId="36" applyFont="1" applyFill="1" applyBorder="1" applyAlignment="1" applyProtection="1">
      <alignment horizontal="center" vertical="center" wrapText="1"/>
      <protection locked="0"/>
    </xf>
    <xf numFmtId="172" fontId="41" fillId="26" borderId="59" xfId="36" applyFont="1" applyFill="1" applyBorder="1" applyAlignment="1" applyProtection="1">
      <alignment vertical="center" wrapText="1"/>
      <protection locked="0"/>
    </xf>
    <xf numFmtId="0" fontId="40" fillId="26" borderId="59" xfId="0" applyFont="1" applyFill="1" applyBorder="1" applyAlignment="1">
      <alignment horizontal="center"/>
    </xf>
    <xf numFmtId="0" fontId="40" fillId="26" borderId="59" xfId="0" applyFont="1" applyFill="1" applyBorder="1" applyAlignment="1">
      <alignment horizontal="centerContinuous"/>
    </xf>
    <xf numFmtId="0" fontId="40" fillId="26" borderId="59" xfId="0" applyFont="1" applyFill="1" applyBorder="1"/>
    <xf numFmtId="2" fontId="41" fillId="26" borderId="71" xfId="36" applyNumberFormat="1" applyFont="1" applyFill="1" applyBorder="1" applyAlignment="1" applyProtection="1">
      <alignment vertical="center" wrapText="1"/>
      <protection locked="0"/>
    </xf>
    <xf numFmtId="0" fontId="44" fillId="0" borderId="91" xfId="0" applyFont="1" applyBorder="1" applyAlignment="1">
      <alignment horizontal="center" vertical="center"/>
    </xf>
    <xf numFmtId="0" fontId="44" fillId="0" borderId="64" xfId="0" applyFont="1" applyBorder="1" applyAlignment="1">
      <alignment horizontal="center" vertical="center" wrapText="1"/>
    </xf>
    <xf numFmtId="2" fontId="44" fillId="0" borderId="64" xfId="0" applyNumberFormat="1" applyFont="1" applyBorder="1" applyAlignment="1">
      <alignment horizontal="center" vertical="center" wrapText="1"/>
    </xf>
    <xf numFmtId="2" fontId="44" fillId="0" borderId="64" xfId="0" applyNumberFormat="1" applyFont="1" applyBorder="1" applyAlignment="1">
      <alignment horizontal="center" vertical="center"/>
    </xf>
    <xf numFmtId="49" fontId="51" fillId="0" borderId="91" xfId="0" applyNumberFormat="1" applyFont="1" applyBorder="1" applyAlignment="1">
      <alignment horizontal="center" vertical="center"/>
    </xf>
    <xf numFmtId="49" fontId="44" fillId="25" borderId="91" xfId="0" applyNumberFormat="1" applyFont="1" applyFill="1" applyBorder="1" applyAlignment="1">
      <alignment horizontal="center" vertical="center"/>
    </xf>
    <xf numFmtId="2" fontId="44" fillId="25" borderId="64" xfId="0" applyNumberFormat="1" applyFont="1" applyFill="1" applyBorder="1" applyAlignment="1">
      <alignment horizontal="center" vertical="center"/>
    </xf>
    <xf numFmtId="2" fontId="41" fillId="25" borderId="71" xfId="36" applyNumberFormat="1" applyFont="1" applyFill="1" applyBorder="1" applyAlignment="1" applyProtection="1">
      <alignment vertical="center" wrapText="1"/>
      <protection locked="0"/>
    </xf>
    <xf numFmtId="0" fontId="44" fillId="0" borderId="90" xfId="0" applyFont="1" applyBorder="1" applyAlignment="1">
      <alignment horizontal="center" vertical="center" wrapText="1"/>
    </xf>
    <xf numFmtId="0" fontId="47" fillId="0" borderId="90" xfId="0" applyFont="1" applyBorder="1" applyAlignment="1">
      <alignment horizontal="center" vertical="center"/>
    </xf>
    <xf numFmtId="0" fontId="44" fillId="0" borderId="94" xfId="0" applyFont="1" applyBorder="1" applyAlignment="1">
      <alignment horizontal="left" vertical="center"/>
    </xf>
    <xf numFmtId="2" fontId="44" fillId="0" borderId="0" xfId="0" applyNumberFormat="1" applyFont="1" applyAlignment="1">
      <alignment horizontal="center" vertical="center"/>
    </xf>
    <xf numFmtId="2" fontId="44" fillId="0" borderId="0" xfId="0" applyNumberFormat="1" applyFont="1" applyAlignment="1">
      <alignment horizontal="center" vertical="center" wrapText="1"/>
    </xf>
    <xf numFmtId="0" fontId="42" fillId="38" borderId="93" xfId="0" applyFont="1" applyFill="1" applyBorder="1" applyAlignment="1" applyProtection="1">
      <alignment horizontal="left" vertical="center" wrapText="1"/>
      <protection locked="0"/>
    </xf>
    <xf numFmtId="172" fontId="41" fillId="38" borderId="59" xfId="36" applyFont="1" applyFill="1" applyBorder="1" applyAlignment="1" applyProtection="1">
      <alignment horizontal="center" vertical="center" wrapText="1"/>
      <protection locked="0"/>
    </xf>
    <xf numFmtId="172" fontId="41" fillId="38" borderId="59" xfId="36" applyFont="1" applyFill="1" applyBorder="1" applyAlignment="1" applyProtection="1">
      <alignment vertical="center" wrapText="1"/>
      <protection locked="0"/>
    </xf>
    <xf numFmtId="201" fontId="41" fillId="38" borderId="59" xfId="36" applyNumberFormat="1" applyFont="1" applyFill="1" applyBorder="1" applyAlignment="1" applyProtection="1">
      <alignment vertical="center" wrapText="1"/>
      <protection locked="0"/>
    </xf>
    <xf numFmtId="0" fontId="40" fillId="38" borderId="59" xfId="0" applyFont="1" applyFill="1" applyBorder="1"/>
    <xf numFmtId="0" fontId="40" fillId="38" borderId="59" xfId="0" applyFont="1" applyFill="1" applyBorder="1" applyAlignment="1">
      <alignment horizontal="centerContinuous"/>
    </xf>
    <xf numFmtId="2" fontId="41" fillId="38" borderId="83" xfId="36" applyNumberFormat="1" applyFont="1" applyFill="1" applyBorder="1" applyAlignment="1" applyProtection="1">
      <alignment vertical="center" wrapText="1"/>
      <protection locked="0"/>
    </xf>
    <xf numFmtId="0" fontId="44" fillId="0" borderId="94" xfId="0" applyFont="1" applyBorder="1" applyAlignment="1">
      <alignment horizontal="center" vertical="center"/>
    </xf>
    <xf numFmtId="2" fontId="41" fillId="0" borderId="77" xfId="36" applyNumberFormat="1" applyFont="1" applyFill="1" applyBorder="1" applyAlignment="1" applyProtection="1">
      <alignment vertical="center" wrapText="1"/>
      <protection locked="0"/>
    </xf>
    <xf numFmtId="0" fontId="42" fillId="0" borderId="93" xfId="0" applyFont="1" applyBorder="1" applyAlignment="1" applyProtection="1">
      <alignment horizontal="left" vertical="center" wrapText="1"/>
      <protection locked="0"/>
    </xf>
    <xf numFmtId="2" fontId="41" fillId="0" borderId="83" xfId="36" applyNumberFormat="1" applyFont="1" applyFill="1" applyBorder="1" applyAlignment="1" applyProtection="1">
      <alignment vertical="center" wrapText="1"/>
      <protection locked="0"/>
    </xf>
    <xf numFmtId="2" fontId="48" fillId="0" borderId="63" xfId="0" applyNumberFormat="1" applyFont="1" applyBorder="1" applyAlignment="1">
      <alignment horizontal="center" vertical="center"/>
    </xf>
    <xf numFmtId="0" fontId="42" fillId="31" borderId="93" xfId="0" applyFont="1" applyFill="1" applyBorder="1" applyAlignment="1" applyProtection="1">
      <alignment horizontal="left" vertical="center" wrapText="1"/>
      <protection locked="0"/>
    </xf>
    <xf numFmtId="172" fontId="41" fillId="31" borderId="59" xfId="36" applyFont="1" applyFill="1" applyBorder="1" applyAlignment="1" applyProtection="1">
      <alignment horizontal="center" vertical="center" wrapText="1"/>
      <protection locked="0"/>
    </xf>
    <xf numFmtId="172" fontId="41" fillId="31" borderId="59" xfId="36" applyFont="1" applyFill="1" applyBorder="1" applyAlignment="1" applyProtection="1">
      <alignment vertical="center" wrapText="1"/>
      <protection locked="0"/>
    </xf>
    <xf numFmtId="201" fontId="41" fillId="31" borderId="59" xfId="36" applyNumberFormat="1" applyFont="1" applyFill="1" applyBorder="1" applyAlignment="1" applyProtection="1">
      <alignment vertical="center" wrapText="1"/>
      <protection locked="0"/>
    </xf>
    <xf numFmtId="0" fontId="40" fillId="31" borderId="59" xfId="0" applyFont="1" applyFill="1" applyBorder="1"/>
    <xf numFmtId="0" fontId="40" fillId="31" borderId="59" xfId="0" applyFont="1" applyFill="1" applyBorder="1" applyAlignment="1">
      <alignment horizontal="centerContinuous"/>
    </xf>
    <xf numFmtId="2" fontId="41" fillId="31" borderId="83" xfId="36" applyNumberFormat="1" applyFont="1" applyFill="1" applyBorder="1" applyAlignment="1" applyProtection="1">
      <alignment vertical="center" wrapText="1"/>
      <protection locked="0"/>
    </xf>
    <xf numFmtId="49" fontId="51" fillId="0" borderId="90" xfId="0" applyNumberFormat="1" applyFont="1" applyBorder="1" applyAlignment="1">
      <alignment horizontal="center" vertical="center"/>
    </xf>
    <xf numFmtId="49" fontId="44" fillId="0" borderId="90" xfId="0" applyNumberFormat="1" applyFont="1" applyBorder="1" applyAlignment="1">
      <alignment horizontal="center" vertical="center"/>
    </xf>
    <xf numFmtId="49" fontId="52" fillId="31" borderId="90" xfId="255" applyNumberFormat="1" applyFont="1" applyFill="1" applyBorder="1" applyAlignment="1">
      <alignment horizontal="center" vertical="center"/>
    </xf>
    <xf numFmtId="2" fontId="41" fillId="31" borderId="71" xfId="36" applyNumberFormat="1" applyFont="1" applyFill="1" applyBorder="1" applyAlignment="1" applyProtection="1">
      <alignment vertical="center" wrapText="1"/>
      <protection locked="0"/>
    </xf>
    <xf numFmtId="0" fontId="44" fillId="0" borderId="91" xfId="0" applyFont="1" applyBorder="1" applyAlignment="1">
      <alignment horizontal="center" vertical="center" wrapText="1"/>
    </xf>
    <xf numFmtId="0" fontId="42" fillId="31" borderId="90" xfId="0" applyFont="1" applyFill="1" applyBorder="1" applyAlignment="1" applyProtection="1">
      <alignment horizontal="left" vertical="center" wrapText="1"/>
      <protection locked="0"/>
    </xf>
    <xf numFmtId="0" fontId="41" fillId="0" borderId="90" xfId="0" applyFont="1" applyBorder="1" applyAlignment="1" applyProtection="1">
      <alignment horizontal="left" vertical="center" wrapText="1"/>
      <protection locked="0"/>
    </xf>
    <xf numFmtId="0" fontId="47" fillId="0" borderId="90" xfId="0" applyFont="1" applyBorder="1" applyAlignment="1">
      <alignment horizontal="left" vertical="center" wrapText="1"/>
    </xf>
    <xf numFmtId="0" fontId="44" fillId="0" borderId="90" xfId="0" applyFont="1" applyBorder="1" applyAlignment="1">
      <alignment horizontal="left" vertical="center" wrapText="1"/>
    </xf>
    <xf numFmtId="0" fontId="47" fillId="0" borderId="90" xfId="0" applyFont="1" applyBorder="1" applyAlignment="1">
      <alignment horizontal="center" vertical="center" wrapText="1"/>
    </xf>
    <xf numFmtId="0" fontId="46" fillId="30" borderId="59" xfId="0" applyFont="1" applyFill="1" applyBorder="1" applyAlignment="1">
      <alignment horizontal="center" vertical="center"/>
    </xf>
    <xf numFmtId="0" fontId="40" fillId="0" borderId="64" xfId="0" applyFont="1" applyBorder="1"/>
    <xf numFmtId="0" fontId="42" fillId="0" borderId="95" xfId="0" applyFont="1" applyBorder="1" applyAlignment="1" applyProtection="1">
      <alignment horizontal="left" vertical="center" wrapText="1"/>
      <protection locked="0"/>
    </xf>
    <xf numFmtId="0" fontId="42" fillId="0" borderId="94" xfId="0" applyFont="1" applyBorder="1" applyAlignment="1" applyProtection="1">
      <alignment horizontal="left" vertical="center" wrapText="1"/>
      <protection locked="0"/>
    </xf>
    <xf numFmtId="0" fontId="44" fillId="0" borderId="95" xfId="0" applyFont="1" applyBorder="1" applyAlignment="1">
      <alignment horizontal="left" vertical="center" wrapText="1"/>
    </xf>
    <xf numFmtId="0" fontId="59" fillId="0" borderId="93" xfId="0" applyFont="1" applyBorder="1"/>
    <xf numFmtId="201" fontId="41" fillId="0" borderId="65" xfId="36" applyNumberFormat="1" applyFont="1" applyFill="1" applyBorder="1" applyAlignment="1" applyProtection="1">
      <alignment vertical="center" wrapText="1"/>
      <protection locked="0"/>
    </xf>
    <xf numFmtId="2" fontId="42" fillId="0" borderId="71" xfId="262" applyNumberFormat="1" applyFont="1" applyFill="1" applyBorder="1" applyAlignment="1" applyProtection="1">
      <alignment vertical="center" wrapText="1"/>
      <protection locked="0"/>
    </xf>
    <xf numFmtId="0" fontId="42" fillId="0" borderId="90" xfId="0" applyFont="1" applyBorder="1" applyAlignment="1" applyProtection="1">
      <alignment vertical="center" wrapText="1"/>
      <protection locked="0"/>
    </xf>
    <xf numFmtId="0" fontId="42" fillId="0" borderId="71" xfId="0" applyFont="1" applyBorder="1" applyAlignment="1" applyProtection="1">
      <alignment vertical="center" wrapText="1"/>
      <protection locked="0"/>
    </xf>
    <xf numFmtId="0" fontId="44" fillId="0" borderId="59" xfId="0" applyFont="1" applyBorder="1" applyAlignment="1">
      <alignment horizontal="center"/>
    </xf>
    <xf numFmtId="0" fontId="44" fillId="0" borderId="90" xfId="0" applyFont="1" applyBorder="1" applyAlignment="1">
      <alignment horizontal="left"/>
    </xf>
    <xf numFmtId="0" fontId="44" fillId="0" borderId="64" xfId="0" applyFont="1" applyBorder="1"/>
    <xf numFmtId="0" fontId="58" fillId="0" borderId="96" xfId="0" applyFont="1" applyBorder="1" applyAlignment="1">
      <alignment horizontal="left"/>
    </xf>
    <xf numFmtId="16" fontId="42" fillId="31" borderId="90" xfId="0" applyNumberFormat="1" applyFont="1" applyFill="1" applyBorder="1" applyAlignment="1" applyProtection="1">
      <alignment horizontal="left" vertical="center" wrapText="1"/>
      <protection locked="0"/>
    </xf>
    <xf numFmtId="2" fontId="41" fillId="31" borderId="59" xfId="36" applyNumberFormat="1" applyFont="1" applyFill="1" applyBorder="1" applyAlignment="1" applyProtection="1">
      <alignment horizontal="center" vertical="center" wrapText="1"/>
      <protection locked="0"/>
    </xf>
    <xf numFmtId="2" fontId="44" fillId="31" borderId="59" xfId="0" applyNumberFormat="1" applyFont="1" applyFill="1" applyBorder="1" applyAlignment="1">
      <alignment horizontal="center"/>
    </xf>
    <xf numFmtId="0" fontId="44" fillId="31" borderId="59" xfId="0" applyFont="1" applyFill="1" applyBorder="1" applyAlignment="1">
      <alignment horizontal="center"/>
    </xf>
    <xf numFmtId="0" fontId="44" fillId="0" borderId="96" xfId="0" applyFont="1" applyBorder="1" applyAlignment="1">
      <alignment horizontal="left"/>
    </xf>
    <xf numFmtId="16" fontId="41" fillId="25" borderId="90" xfId="0" applyNumberFormat="1" applyFont="1" applyFill="1" applyBorder="1" applyAlignment="1" applyProtection="1">
      <alignment horizontal="left" vertical="center" wrapText="1"/>
      <protection locked="0"/>
    </xf>
    <xf numFmtId="16" fontId="42" fillId="25" borderId="90" xfId="0" applyNumberFormat="1" applyFont="1" applyFill="1" applyBorder="1" applyAlignment="1" applyProtection="1">
      <alignment horizontal="left" vertical="center" wrapText="1"/>
      <protection locked="0"/>
    </xf>
    <xf numFmtId="0" fontId="42" fillId="36" borderId="90" xfId="0" applyFont="1" applyFill="1" applyBorder="1" applyAlignment="1" applyProtection="1">
      <alignment horizontal="center" vertical="center" wrapText="1"/>
      <protection locked="0"/>
    </xf>
    <xf numFmtId="0" fontId="41" fillId="0" borderId="94" xfId="0" applyFont="1" applyBorder="1" applyAlignment="1" applyProtection="1">
      <alignment horizontal="left" vertical="center" wrapText="1"/>
      <protection locked="0"/>
    </xf>
    <xf numFmtId="0" fontId="46" fillId="0" borderId="90" xfId="0" applyFont="1" applyBorder="1" applyAlignment="1">
      <alignment horizontal="center" vertical="center"/>
    </xf>
    <xf numFmtId="0" fontId="53" fillId="0" borderId="90" xfId="0" applyFont="1" applyBorder="1" applyAlignment="1">
      <alignment horizontal="left" vertical="center"/>
    </xf>
    <xf numFmtId="0" fontId="6" fillId="0" borderId="90" xfId="0" applyFont="1" applyBorder="1"/>
    <xf numFmtId="0" fontId="0" fillId="0" borderId="71" xfId="0" applyBorder="1"/>
    <xf numFmtId="0" fontId="53" fillId="30" borderId="90" xfId="0" applyFont="1" applyFill="1" applyBorder="1" applyAlignment="1">
      <alignment horizontal="left" vertical="center"/>
    </xf>
    <xf numFmtId="0" fontId="46" fillId="30" borderId="90" xfId="0" applyFont="1" applyFill="1" applyBorder="1" applyAlignment="1">
      <alignment horizontal="center" vertical="center"/>
    </xf>
    <xf numFmtId="0" fontId="0" fillId="0" borderId="0" xfId="0" applyAlignment="1">
      <alignment horizontal="center"/>
    </xf>
    <xf numFmtId="0" fontId="41" fillId="0" borderId="98" xfId="0" applyFont="1" applyBorder="1" applyAlignment="1" applyProtection="1">
      <alignment horizontal="left" vertical="center" wrapText="1"/>
      <protection locked="0"/>
    </xf>
    <xf numFmtId="2" fontId="41" fillId="0" borderId="84" xfId="262" applyNumberFormat="1" applyFont="1" applyFill="1" applyBorder="1" applyAlignment="1" applyProtection="1">
      <alignment vertical="center" wrapText="1"/>
      <protection locked="0"/>
    </xf>
    <xf numFmtId="0" fontId="53" fillId="30" borderId="94" xfId="0" applyFont="1" applyFill="1" applyBorder="1" applyAlignment="1">
      <alignment horizontal="left" vertical="center"/>
    </xf>
    <xf numFmtId="0" fontId="46" fillId="30" borderId="94" xfId="0" applyFont="1" applyFill="1" applyBorder="1" applyAlignment="1">
      <alignment horizontal="left" vertical="center"/>
    </xf>
    <xf numFmtId="0" fontId="46" fillId="30" borderId="90" xfId="0" applyFont="1" applyFill="1" applyBorder="1" applyAlignment="1">
      <alignment horizontal="left" vertical="center"/>
    </xf>
    <xf numFmtId="0" fontId="48" fillId="0" borderId="90" xfId="0" applyFont="1" applyBorder="1" applyAlignment="1">
      <alignment horizontal="left" vertical="center"/>
    </xf>
    <xf numFmtId="2" fontId="42" fillId="0" borderId="71" xfId="262" applyNumberFormat="1" applyFont="1" applyFill="1" applyBorder="1" applyAlignment="1" applyProtection="1">
      <alignment horizontal="center" vertical="center" wrapText="1"/>
      <protection locked="0"/>
    </xf>
    <xf numFmtId="0" fontId="46" fillId="0" borderId="94" xfId="0" applyFont="1" applyBorder="1" applyAlignment="1">
      <alignment horizontal="left" vertical="center"/>
    </xf>
    <xf numFmtId="2" fontId="39" fillId="27" borderId="71" xfId="0" applyNumberFormat="1" applyFont="1" applyFill="1" applyBorder="1" applyAlignment="1">
      <alignment horizontal="center"/>
    </xf>
    <xf numFmtId="16" fontId="41" fillId="0" borderId="90" xfId="0" applyNumberFormat="1" applyFont="1" applyBorder="1" applyAlignment="1" applyProtection="1">
      <alignment vertical="center" wrapText="1"/>
      <protection locked="0"/>
    </xf>
    <xf numFmtId="0" fontId="42" fillId="26" borderId="90" xfId="0" applyFont="1" applyFill="1" applyBorder="1" applyAlignment="1" applyProtection="1">
      <alignment horizontal="center" vertical="center" wrapText="1"/>
      <protection locked="0"/>
    </xf>
    <xf numFmtId="0" fontId="42" fillId="37" borderId="90" xfId="0" applyFont="1" applyFill="1" applyBorder="1" applyAlignment="1" applyProtection="1">
      <alignment horizontal="center" vertical="center" wrapText="1"/>
      <protection locked="0"/>
    </xf>
    <xf numFmtId="2" fontId="39" fillId="37" borderId="71" xfId="0" applyNumberFormat="1" applyFont="1" applyFill="1" applyBorder="1" applyAlignment="1">
      <alignment horizontal="center" vertical="center"/>
    </xf>
    <xf numFmtId="16" fontId="42" fillId="0" borderId="90" xfId="0" applyNumberFormat="1" applyFont="1" applyBorder="1" applyAlignment="1" applyProtection="1">
      <alignment vertical="center" wrapText="1"/>
      <protection locked="0"/>
    </xf>
    <xf numFmtId="16" fontId="45" fillId="0" borderId="30" xfId="0" applyNumberFormat="1" applyFont="1" applyBorder="1" applyAlignment="1" applyProtection="1">
      <alignment horizontal="center" vertical="center" wrapText="1"/>
      <protection locked="0"/>
    </xf>
    <xf numFmtId="16" fontId="45" fillId="0" borderId="0" xfId="0" applyNumberFormat="1" applyFont="1" applyAlignment="1" applyProtection="1">
      <alignment horizontal="center" vertical="center" wrapText="1"/>
      <protection locked="0"/>
    </xf>
    <xf numFmtId="16" fontId="45" fillId="0" borderId="31" xfId="0" applyNumberFormat="1" applyFont="1" applyBorder="1" applyAlignment="1" applyProtection="1">
      <alignment horizontal="center" vertical="center" wrapText="1"/>
      <protection locked="0"/>
    </xf>
    <xf numFmtId="16" fontId="42" fillId="25" borderId="90" xfId="0" applyNumberFormat="1" applyFont="1" applyFill="1" applyBorder="1" applyAlignment="1" applyProtection="1">
      <alignment vertical="center" wrapText="1"/>
      <protection locked="0"/>
    </xf>
    <xf numFmtId="16" fontId="42" fillId="0" borderId="90" xfId="0" applyNumberFormat="1" applyFont="1" applyBorder="1" applyAlignment="1" applyProtection="1">
      <alignment horizontal="left" vertical="center" wrapText="1"/>
      <protection locked="0"/>
    </xf>
    <xf numFmtId="2" fontId="41" fillId="0" borderId="92" xfId="36" applyNumberFormat="1" applyFont="1" applyFill="1" applyBorder="1" applyAlignment="1" applyProtection="1">
      <alignment vertical="center" wrapText="1"/>
      <protection locked="0"/>
    </xf>
    <xf numFmtId="2" fontId="41" fillId="0" borderId="71" xfId="36" applyNumberFormat="1" applyFont="1" applyFill="1" applyBorder="1" applyAlignment="1" applyProtection="1">
      <alignment horizontal="center" vertical="center" wrapText="1"/>
      <protection locked="0"/>
    </xf>
    <xf numFmtId="0" fontId="44" fillId="0" borderId="0" xfId="0" applyFont="1" applyAlignment="1">
      <alignment horizontal="center"/>
    </xf>
    <xf numFmtId="16" fontId="42" fillId="43" borderId="90" xfId="0" applyNumberFormat="1" applyFont="1" applyFill="1" applyBorder="1" applyAlignment="1" applyProtection="1">
      <alignment vertical="center" wrapText="1"/>
      <protection locked="0"/>
    </xf>
    <xf numFmtId="0" fontId="42" fillId="43" borderId="90" xfId="0" applyFont="1" applyFill="1" applyBorder="1" applyAlignment="1" applyProtection="1">
      <alignment horizontal="center" vertical="center" wrapText="1"/>
      <protection locked="0"/>
    </xf>
    <xf numFmtId="16" fontId="42" fillId="26" borderId="90" xfId="0" applyNumberFormat="1" applyFont="1" applyFill="1" applyBorder="1" applyAlignment="1" applyProtection="1">
      <alignment horizontal="left" vertical="center" wrapText="1"/>
      <protection locked="0"/>
    </xf>
    <xf numFmtId="0" fontId="0" fillId="0" borderId="30" xfId="0" applyBorder="1" applyAlignment="1">
      <alignment wrapText="1"/>
    </xf>
    <xf numFmtId="0" fontId="0" fillId="0" borderId="31" xfId="0" applyBorder="1" applyAlignment="1">
      <alignment wrapText="1"/>
    </xf>
    <xf numFmtId="0" fontId="44" fillId="0" borderId="90" xfId="0" applyFont="1" applyBorder="1"/>
    <xf numFmtId="0" fontId="47" fillId="0" borderId="90" xfId="0" applyFont="1" applyBorder="1"/>
    <xf numFmtId="16" fontId="42" fillId="34" borderId="90" xfId="0" applyNumberFormat="1" applyFont="1" applyFill="1" applyBorder="1" applyAlignment="1" applyProtection="1">
      <alignment horizontal="left" vertical="center" wrapText="1"/>
      <protection locked="0"/>
    </xf>
    <xf numFmtId="16" fontId="42" fillId="25" borderId="90" xfId="0" applyNumberFormat="1" applyFont="1" applyFill="1" applyBorder="1" applyAlignment="1" applyProtection="1">
      <alignment horizontal="center" vertical="center" wrapText="1"/>
      <protection locked="0"/>
    </xf>
    <xf numFmtId="16" fontId="41" fillId="25" borderId="90" xfId="0" applyNumberFormat="1" applyFont="1" applyFill="1" applyBorder="1" applyAlignment="1" applyProtection="1">
      <alignment horizontal="center" vertical="center" wrapText="1"/>
      <protection locked="0"/>
    </xf>
    <xf numFmtId="0" fontId="40" fillId="0" borderId="0" xfId="0" applyFont="1"/>
    <xf numFmtId="0" fontId="40" fillId="0" borderId="0" xfId="0" applyFont="1" applyAlignment="1">
      <alignment horizontal="center"/>
    </xf>
    <xf numFmtId="2" fontId="41" fillId="0" borderId="31" xfId="36" applyNumberFormat="1" applyFont="1" applyFill="1" applyBorder="1" applyAlignment="1" applyProtection="1">
      <alignment vertical="center" wrapText="1"/>
      <protection locked="0"/>
    </xf>
    <xf numFmtId="0" fontId="41" fillId="31" borderId="30" xfId="0" applyFont="1" applyFill="1" applyBorder="1" applyAlignment="1">
      <alignment horizontal="center"/>
    </xf>
    <xf numFmtId="0" fontId="41" fillId="31" borderId="0" xfId="0" applyFont="1" applyFill="1" applyAlignment="1">
      <alignment horizontal="center"/>
    </xf>
    <xf numFmtId="0" fontId="41" fillId="31" borderId="31" xfId="0" applyFont="1" applyFill="1" applyBorder="1" applyAlignment="1">
      <alignment horizontal="center"/>
    </xf>
    <xf numFmtId="0" fontId="41" fillId="0" borderId="30" xfId="0" applyFont="1" applyBorder="1" applyAlignment="1">
      <alignment horizontal="center"/>
    </xf>
    <xf numFmtId="0" fontId="41" fillId="0" borderId="0" xfId="0" applyFont="1" applyAlignment="1">
      <alignment horizontal="center"/>
    </xf>
    <xf numFmtId="0" fontId="41" fillId="0" borderId="31" xfId="0" applyFont="1" applyBorder="1" applyAlignment="1">
      <alignment horizontal="center"/>
    </xf>
    <xf numFmtId="2" fontId="39" fillId="0" borderId="71" xfId="0" applyNumberFormat="1" applyFont="1" applyBorder="1" applyAlignment="1">
      <alignment horizontal="center" vertical="center"/>
    </xf>
    <xf numFmtId="16" fontId="41" fillId="36" borderId="90" xfId="0" applyNumberFormat="1" applyFont="1" applyFill="1" applyBorder="1" applyAlignment="1" applyProtection="1">
      <alignment vertical="center" wrapText="1"/>
      <protection locked="0"/>
    </xf>
    <xf numFmtId="0" fontId="44" fillId="0" borderId="0" xfId="0" applyFont="1" applyAlignment="1">
      <alignment horizontal="right"/>
    </xf>
    <xf numFmtId="16" fontId="41" fillId="36" borderId="90" xfId="0" applyNumberFormat="1" applyFont="1" applyFill="1" applyBorder="1" applyAlignment="1" applyProtection="1">
      <alignment horizontal="left" vertical="center" wrapText="1"/>
      <protection locked="0"/>
    </xf>
    <xf numFmtId="16" fontId="41" fillId="31" borderId="90" xfId="0" applyNumberFormat="1" applyFont="1" applyFill="1" applyBorder="1" applyAlignment="1" applyProtection="1">
      <alignment vertical="center" wrapText="1"/>
      <protection locked="0"/>
    </xf>
    <xf numFmtId="0" fontId="42" fillId="40" borderId="90" xfId="0" applyFont="1" applyFill="1" applyBorder="1" applyAlignment="1" applyProtection="1">
      <alignment horizontal="center" vertical="center" wrapText="1"/>
      <protection locked="0"/>
    </xf>
    <xf numFmtId="0" fontId="48" fillId="0" borderId="63" xfId="0" applyFont="1" applyBorder="1" applyAlignment="1">
      <alignment horizontal="center" vertical="center" wrapText="1"/>
    </xf>
    <xf numFmtId="0" fontId="48" fillId="0" borderId="57" xfId="0" applyFont="1" applyBorder="1" applyAlignment="1">
      <alignment horizontal="center" vertical="center" wrapText="1"/>
    </xf>
    <xf numFmtId="0" fontId="59" fillId="0" borderId="94" xfId="0" applyFont="1" applyBorder="1"/>
    <xf numFmtId="0" fontId="60" fillId="0" borderId="90" xfId="0" applyFont="1" applyBorder="1" applyAlignment="1">
      <alignment horizontal="center"/>
    </xf>
    <xf numFmtId="0" fontId="61" fillId="0" borderId="101" xfId="0" applyFont="1" applyBorder="1" applyAlignment="1">
      <alignment vertical="center"/>
    </xf>
    <xf numFmtId="0" fontId="48" fillId="0" borderId="91" xfId="0" applyFont="1" applyBorder="1" applyAlignment="1">
      <alignment horizontal="center" vertical="center"/>
    </xf>
    <xf numFmtId="0" fontId="62" fillId="0" borderId="91" xfId="255" applyNumberFormat="1" applyFont="1" applyBorder="1" applyAlignment="1">
      <alignment horizontal="center" vertical="center"/>
    </xf>
    <xf numFmtId="0" fontId="59" fillId="0" borderId="90" xfId="0" applyFont="1" applyBorder="1"/>
    <xf numFmtId="0" fontId="60" fillId="0" borderId="71" xfId="0" applyFont="1" applyBorder="1"/>
    <xf numFmtId="2" fontId="41" fillId="0" borderId="71" xfId="0" applyNumberFormat="1" applyFont="1" applyBorder="1"/>
    <xf numFmtId="0" fontId="48" fillId="0" borderId="90" xfId="0" applyFont="1" applyBorder="1" applyAlignment="1">
      <alignment horizontal="center" vertical="center"/>
    </xf>
    <xf numFmtId="0" fontId="61" fillId="0" borderId="90" xfId="0" applyFont="1" applyBorder="1" applyAlignment="1">
      <alignment vertical="center"/>
    </xf>
    <xf numFmtId="0" fontId="62" fillId="0" borderId="91" xfId="255" applyNumberFormat="1" applyFont="1" applyFill="1" applyBorder="1" applyAlignment="1">
      <alignment horizontal="center" vertical="center"/>
    </xf>
    <xf numFmtId="0" fontId="63" fillId="0" borderId="90" xfId="255" applyNumberFormat="1" applyFont="1" applyFill="1" applyBorder="1" applyAlignment="1">
      <alignment horizontal="left" vertical="center"/>
    </xf>
    <xf numFmtId="0" fontId="0" fillId="0" borderId="64" xfId="0" applyBorder="1"/>
    <xf numFmtId="0" fontId="63" fillId="0" borderId="90" xfId="255" applyNumberFormat="1" applyFont="1" applyBorder="1" applyAlignment="1">
      <alignment horizontal="left" vertical="center"/>
    </xf>
    <xf numFmtId="172" fontId="41" fillId="0" borderId="65" xfId="36" applyFont="1" applyFill="1" applyBorder="1" applyAlignment="1" applyProtection="1">
      <alignment vertical="center" wrapText="1"/>
      <protection locked="0"/>
    </xf>
    <xf numFmtId="16" fontId="42" fillId="26" borderId="90" xfId="0" applyNumberFormat="1" applyFont="1" applyFill="1" applyBorder="1" applyAlignment="1" applyProtection="1">
      <alignment vertical="center" wrapText="1"/>
      <protection locked="0"/>
    </xf>
    <xf numFmtId="0" fontId="41" fillId="0" borderId="59" xfId="0" applyFont="1" applyBorder="1" applyAlignment="1" applyProtection="1">
      <alignment horizontal="center" vertical="center" wrapText="1"/>
      <protection locked="0"/>
    </xf>
    <xf numFmtId="0" fontId="48" fillId="0" borderId="59" xfId="0" applyFont="1" applyBorder="1" applyAlignment="1">
      <alignment horizontal="center"/>
    </xf>
    <xf numFmtId="0" fontId="40" fillId="0" borderId="90" xfId="0" applyFont="1" applyBorder="1" applyAlignment="1">
      <alignment horizontal="left" wrapText="1"/>
    </xf>
    <xf numFmtId="2" fontId="44" fillId="0" borderId="0" xfId="0" applyNumberFormat="1" applyFont="1" applyAlignment="1">
      <alignment horizontal="center"/>
    </xf>
    <xf numFmtId="0" fontId="42" fillId="0" borderId="0" xfId="0" applyFont="1" applyAlignment="1" applyProtection="1">
      <alignment horizontal="center" vertical="center" wrapText="1"/>
      <protection locked="0"/>
    </xf>
    <xf numFmtId="0" fontId="41" fillId="0" borderId="93" xfId="0" applyFont="1" applyBorder="1" applyAlignment="1" applyProtection="1">
      <alignment horizontal="left" vertical="center" wrapText="1"/>
      <protection locked="0"/>
    </xf>
    <xf numFmtId="0" fontId="6" fillId="0" borderId="90" xfId="0" applyFont="1" applyBorder="1" applyAlignment="1">
      <alignment horizontal="center"/>
    </xf>
    <xf numFmtId="0" fontId="41" fillId="0" borderId="94" xfId="0" applyFont="1" applyBorder="1" applyAlignment="1" applyProtection="1">
      <alignment horizontal="center" vertical="center" wrapText="1"/>
      <protection locked="0"/>
    </xf>
    <xf numFmtId="0" fontId="47" fillId="0" borderId="94" xfId="0" applyFont="1" applyBorder="1" applyAlignment="1">
      <alignment horizontal="left" vertical="center"/>
    </xf>
    <xf numFmtId="0" fontId="48" fillId="0" borderId="94" xfId="0" applyFont="1" applyBorder="1" applyAlignment="1">
      <alignment horizontal="center" vertical="center"/>
    </xf>
    <xf numFmtId="2" fontId="41" fillId="0" borderId="71" xfId="262" applyNumberFormat="1" applyFont="1" applyFill="1" applyBorder="1" applyAlignment="1" applyProtection="1">
      <alignment horizontal="left" vertical="center" wrapText="1"/>
      <protection locked="0"/>
    </xf>
    <xf numFmtId="2" fontId="41" fillId="0" borderId="71" xfId="262" applyNumberFormat="1" applyFont="1" applyFill="1" applyBorder="1" applyAlignment="1" applyProtection="1">
      <alignment horizontal="center" vertical="center" wrapText="1"/>
      <protection locked="0"/>
    </xf>
    <xf numFmtId="0" fontId="42" fillId="44" borderId="90" xfId="0" applyFont="1" applyFill="1" applyBorder="1" applyAlignment="1" applyProtection="1">
      <alignment horizontal="left" vertical="center" wrapText="1"/>
      <protection locked="0"/>
    </xf>
    <xf numFmtId="2" fontId="41" fillId="44" borderId="71" xfId="36" applyNumberFormat="1" applyFont="1" applyFill="1" applyBorder="1" applyAlignment="1" applyProtection="1">
      <alignment vertical="center" wrapText="1"/>
      <protection locked="0"/>
    </xf>
    <xf numFmtId="0" fontId="48" fillId="0" borderId="91" xfId="0" applyFont="1" applyBorder="1" applyAlignment="1">
      <alignment horizontal="left" vertical="center"/>
    </xf>
    <xf numFmtId="0" fontId="62" fillId="0" borderId="91" xfId="255" applyNumberFormat="1" applyFont="1" applyFill="1" applyBorder="1" applyAlignment="1">
      <alignment horizontal="left" vertical="center"/>
    </xf>
    <xf numFmtId="0" fontId="62" fillId="0" borderId="90" xfId="255" applyNumberFormat="1" applyFont="1" applyFill="1" applyBorder="1" applyAlignment="1">
      <alignment horizontal="left" vertical="center"/>
    </xf>
    <xf numFmtId="0" fontId="48" fillId="0" borderId="93" xfId="0" applyFont="1" applyBorder="1" applyAlignment="1">
      <alignment horizontal="center" vertical="center"/>
    </xf>
    <xf numFmtId="201" fontId="41" fillId="0" borderId="59" xfId="36" applyNumberFormat="1" applyFont="1" applyFill="1" applyBorder="1" applyAlignment="1" applyProtection="1">
      <alignment vertical="center" wrapText="1"/>
      <protection locked="0"/>
    </xf>
    <xf numFmtId="0" fontId="64" fillId="30" borderId="94" xfId="0" applyFont="1" applyFill="1" applyBorder="1" applyAlignment="1">
      <alignment horizontal="left" vertical="center"/>
    </xf>
    <xf numFmtId="0" fontId="64" fillId="30" borderId="90" xfId="0" applyFont="1" applyFill="1" applyBorder="1" applyAlignment="1">
      <alignment horizontal="left" vertical="center"/>
    </xf>
    <xf numFmtId="0" fontId="42" fillId="27" borderId="90" xfId="135" applyFont="1" applyFill="1" applyBorder="1" applyAlignment="1" applyProtection="1">
      <alignment horizontal="center" vertical="center" wrapText="1"/>
      <protection locked="0"/>
    </xf>
    <xf numFmtId="2" fontId="39" fillId="27" borderId="71" xfId="135" applyNumberFormat="1" applyFont="1" applyFill="1" applyBorder="1" applyAlignment="1">
      <alignment horizontal="center"/>
    </xf>
    <xf numFmtId="0" fontId="42" fillId="28" borderId="90" xfId="135" applyFont="1" applyFill="1" applyBorder="1" applyAlignment="1" applyProtection="1">
      <alignment horizontal="center" vertical="center" wrapText="1"/>
      <protection locked="0"/>
    </xf>
    <xf numFmtId="2" fontId="39" fillId="28" borderId="71" xfId="135" applyNumberFormat="1" applyFont="1" applyFill="1" applyBorder="1" applyAlignment="1">
      <alignment horizontal="center" vertical="center"/>
    </xf>
    <xf numFmtId="0" fontId="41" fillId="0" borderId="90" xfId="135" applyFont="1" applyBorder="1" applyAlignment="1" applyProtection="1">
      <alignment vertical="center" wrapText="1"/>
      <protection locked="0"/>
    </xf>
    <xf numFmtId="2" fontId="40" fillId="0" borderId="71" xfId="135" applyNumberFormat="1" applyFont="1" applyBorder="1"/>
    <xf numFmtId="0" fontId="42" fillId="0" borderId="90" xfId="135" applyFont="1" applyBorder="1" applyAlignment="1" applyProtection="1">
      <alignment horizontal="center" vertical="center" wrapText="1"/>
      <protection locked="0"/>
    </xf>
    <xf numFmtId="16" fontId="41" fillId="25" borderId="90" xfId="135" applyNumberFormat="1" applyFont="1" applyFill="1" applyBorder="1" applyAlignment="1" applyProtection="1">
      <alignment vertical="center" wrapText="1"/>
      <protection locked="0"/>
    </xf>
    <xf numFmtId="16" fontId="41" fillId="0" borderId="90" xfId="135" applyNumberFormat="1" applyFont="1" applyBorder="1" applyAlignment="1" applyProtection="1">
      <alignment horizontal="left" vertical="center" wrapText="1"/>
      <protection locked="0"/>
    </xf>
    <xf numFmtId="2" fontId="39" fillId="26" borderId="71" xfId="0" applyNumberFormat="1" applyFont="1" applyFill="1" applyBorder="1" applyAlignment="1">
      <alignment horizontal="center" vertical="center"/>
    </xf>
    <xf numFmtId="16" fontId="41" fillId="25" borderId="91" xfId="0" applyNumberFormat="1" applyFont="1" applyFill="1" applyBorder="1" applyAlignment="1" applyProtection="1">
      <alignment vertical="center" wrapText="1"/>
      <protection locked="0"/>
    </xf>
    <xf numFmtId="172" fontId="41" fillId="26" borderId="63" xfId="36" applyFont="1" applyFill="1" applyBorder="1" applyAlignment="1" applyProtection="1">
      <alignment vertical="center" wrapText="1"/>
      <protection locked="0"/>
    </xf>
    <xf numFmtId="10" fontId="41" fillId="0" borderId="63" xfId="36" applyNumberFormat="1" applyFont="1" applyFill="1" applyBorder="1" applyAlignment="1" applyProtection="1">
      <alignment vertical="center" wrapText="1"/>
      <protection locked="0"/>
    </xf>
    <xf numFmtId="16" fontId="41" fillId="0" borderId="91" xfId="0" applyNumberFormat="1" applyFont="1" applyBorder="1" applyAlignment="1" applyProtection="1">
      <alignment vertical="center" wrapText="1"/>
      <protection locked="0"/>
    </xf>
    <xf numFmtId="16" fontId="41" fillId="0" borderId="91" xfId="0" applyNumberFormat="1" applyFont="1" applyBorder="1" applyAlignment="1" applyProtection="1">
      <alignment horizontal="left" vertical="center" wrapText="1"/>
      <protection locked="0"/>
    </xf>
    <xf numFmtId="172" fontId="41" fillId="25" borderId="64" xfId="36" applyFont="1" applyFill="1" applyBorder="1" applyAlignment="1" applyProtection="1">
      <alignment horizontal="center" vertical="center" wrapText="1"/>
      <protection locked="0"/>
    </xf>
    <xf numFmtId="172" fontId="41" fillId="0" borderId="64" xfId="36" applyFont="1" applyFill="1" applyBorder="1" applyAlignment="1" applyProtection="1">
      <alignment horizontal="center" vertical="center" wrapText="1"/>
      <protection locked="0"/>
    </xf>
    <xf numFmtId="16" fontId="41" fillId="0" borderId="30" xfId="0" applyNumberFormat="1" applyFont="1" applyBorder="1" applyAlignment="1" applyProtection="1">
      <alignment vertical="center" wrapText="1"/>
      <protection locked="0"/>
    </xf>
    <xf numFmtId="2" fontId="41" fillId="0" borderId="71" xfId="36" applyNumberFormat="1" applyFont="1" applyFill="1" applyBorder="1" applyAlignment="1" applyProtection="1">
      <alignment horizontal="left" vertical="center" wrapText="1"/>
      <protection locked="0"/>
    </xf>
    <xf numFmtId="0" fontId="47" fillId="0" borderId="90" xfId="0" applyFont="1" applyBorder="1" applyAlignment="1">
      <alignment horizontal="left"/>
    </xf>
    <xf numFmtId="2" fontId="41" fillId="0" borderId="92" xfId="36" applyNumberFormat="1" applyFont="1" applyFill="1" applyBorder="1" applyAlignment="1" applyProtection="1">
      <alignment horizontal="left" vertical="center" wrapText="1"/>
      <protection locked="0"/>
    </xf>
    <xf numFmtId="16" fontId="41" fillId="26" borderId="90" xfId="0" applyNumberFormat="1" applyFont="1" applyFill="1" applyBorder="1" applyAlignment="1" applyProtection="1">
      <alignment vertical="center" wrapText="1"/>
      <protection locked="0"/>
    </xf>
    <xf numFmtId="10" fontId="41" fillId="0" borderId="64" xfId="36" applyNumberFormat="1" applyFont="1" applyFill="1" applyBorder="1" applyAlignment="1" applyProtection="1">
      <alignment vertical="center" wrapText="1"/>
      <protection locked="0"/>
    </xf>
    <xf numFmtId="2" fontId="39" fillId="42" borderId="71" xfId="0" applyNumberFormat="1" applyFont="1" applyFill="1" applyBorder="1" applyAlignment="1">
      <alignment horizontal="center" vertical="center"/>
    </xf>
    <xf numFmtId="16" fontId="41" fillId="42" borderId="90" xfId="0" applyNumberFormat="1" applyFont="1" applyFill="1" applyBorder="1" applyAlignment="1" applyProtection="1">
      <alignment horizontal="left" vertical="center" wrapText="1"/>
      <protection locked="0"/>
    </xf>
    <xf numFmtId="2" fontId="41" fillId="25" borderId="71" xfId="36" applyNumberFormat="1" applyFont="1" applyFill="1" applyBorder="1" applyAlignment="1" applyProtection="1">
      <alignment horizontal="center" vertical="center" wrapText="1"/>
      <protection locked="0"/>
    </xf>
    <xf numFmtId="0" fontId="41" fillId="31" borderId="90" xfId="0" applyFont="1" applyFill="1" applyBorder="1" applyAlignment="1" applyProtection="1">
      <alignment vertical="center" wrapText="1"/>
      <protection locked="0"/>
    </xf>
    <xf numFmtId="2" fontId="40" fillId="0" borderId="77" xfId="0" applyNumberFormat="1" applyFont="1" applyBorder="1"/>
    <xf numFmtId="16" fontId="41" fillId="26" borderId="90" xfId="0" applyNumberFormat="1" applyFont="1" applyFill="1" applyBorder="1" applyAlignment="1" applyProtection="1">
      <alignment horizontal="center" vertical="center" wrapText="1"/>
      <protection locked="0"/>
    </xf>
    <xf numFmtId="0" fontId="60" fillId="25" borderId="30" xfId="130" applyFont="1" applyFill="1" applyBorder="1" applyAlignment="1">
      <alignment horizontal="center" vertical="center" wrapText="1"/>
    </xf>
    <xf numFmtId="0" fontId="59" fillId="25" borderId="30" xfId="130" applyFont="1" applyFill="1" applyBorder="1" applyAlignment="1">
      <alignment horizontal="center" vertical="center" wrapText="1"/>
    </xf>
    <xf numFmtId="0" fontId="59" fillId="0" borderId="79" xfId="89" applyFont="1" applyBorder="1" applyAlignment="1">
      <alignment horizontal="center"/>
    </xf>
    <xf numFmtId="0" fontId="41" fillId="26" borderId="19" xfId="0" applyFont="1" applyFill="1" applyBorder="1" applyAlignment="1">
      <alignment horizontal="center" vertical="center" wrapText="1"/>
    </xf>
    <xf numFmtId="0" fontId="41" fillId="26" borderId="16" xfId="89" applyFont="1" applyFill="1" applyBorder="1" applyAlignment="1">
      <alignment horizontal="center" vertical="center"/>
    </xf>
    <xf numFmtId="204" fontId="72" fillId="0" borderId="0" xfId="90" applyNumberFormat="1" applyFont="1"/>
    <xf numFmtId="204" fontId="73" fillId="0" borderId="0" xfId="89" applyNumberFormat="1" applyFont="1"/>
    <xf numFmtId="2" fontId="41" fillId="26" borderId="16" xfId="89" applyNumberFormat="1" applyFont="1" applyFill="1" applyBorder="1" applyAlignment="1">
      <alignment horizontal="center" vertical="center"/>
    </xf>
    <xf numFmtId="0" fontId="0" fillId="26" borderId="16" xfId="0" applyFill="1" applyBorder="1" applyAlignment="1">
      <alignment horizontal="center" vertical="center"/>
    </xf>
    <xf numFmtId="0" fontId="42" fillId="0" borderId="16" xfId="128" applyFont="1" applyBorder="1" applyAlignment="1">
      <alignment horizontal="right" vertical="center"/>
    </xf>
    <xf numFmtId="0" fontId="42" fillId="24" borderId="16" xfId="73" applyFont="1" applyFill="1" applyBorder="1" applyAlignment="1">
      <alignment horizontal="left" vertical="center"/>
    </xf>
    <xf numFmtId="0" fontId="41" fillId="0" borderId="16" xfId="73" applyFont="1" applyBorder="1" applyAlignment="1">
      <alignment horizontal="center" vertical="center"/>
    </xf>
    <xf numFmtId="44" fontId="41" fillId="0" borderId="16" xfId="34" applyNumberFormat="1" applyFont="1" applyFill="1" applyBorder="1" applyAlignment="1">
      <alignment horizontal="center" vertical="center" wrapText="1"/>
    </xf>
    <xf numFmtId="0" fontId="42" fillId="0" borderId="23" xfId="73" applyFont="1" applyBorder="1" applyAlignment="1">
      <alignment horizontal="center" vertical="center"/>
    </xf>
    <xf numFmtId="0" fontId="42" fillId="0" borderId="66" xfId="73" applyFont="1" applyBorder="1" applyAlignment="1">
      <alignment horizontal="center" vertical="center"/>
    </xf>
    <xf numFmtId="44" fontId="41" fillId="0" borderId="47" xfId="34" applyNumberFormat="1" applyFont="1" applyFill="1" applyBorder="1" applyAlignment="1">
      <alignment horizontal="center" vertical="center" wrapText="1"/>
    </xf>
    <xf numFmtId="0" fontId="45" fillId="41" borderId="50" xfId="89" applyFont="1" applyFill="1" applyBorder="1" applyAlignment="1">
      <alignment horizontal="center" vertical="center"/>
    </xf>
    <xf numFmtId="0" fontId="45" fillId="41" borderId="14" xfId="89" applyFont="1" applyFill="1" applyBorder="1" applyAlignment="1">
      <alignment horizontal="center" vertical="center"/>
    </xf>
    <xf numFmtId="0" fontId="45" fillId="41" borderId="15" xfId="89" applyFont="1" applyFill="1" applyBorder="1" applyAlignment="1">
      <alignment horizontal="center" vertical="center"/>
    </xf>
    <xf numFmtId="167" fontId="41" fillId="0" borderId="16" xfId="62" applyNumberFormat="1" applyFont="1" applyFill="1" applyBorder="1" applyAlignment="1">
      <alignment horizontal="center" vertical="center" wrapText="1"/>
    </xf>
    <xf numFmtId="167" fontId="41" fillId="0" borderId="62" xfId="62" applyNumberFormat="1" applyFont="1" applyFill="1" applyBorder="1" applyAlignment="1">
      <alignment horizontal="center" vertical="center" wrapText="1"/>
    </xf>
    <xf numFmtId="167" fontId="41" fillId="0" borderId="40" xfId="62" applyNumberFormat="1" applyFont="1" applyFill="1" applyBorder="1" applyAlignment="1">
      <alignment horizontal="center" vertical="center" wrapText="1"/>
    </xf>
    <xf numFmtId="167" fontId="41" fillId="0" borderId="60" xfId="62" applyNumberFormat="1" applyFont="1" applyFill="1" applyBorder="1" applyAlignment="1">
      <alignment horizontal="center" vertical="center" wrapText="1"/>
    </xf>
    <xf numFmtId="0" fontId="42" fillId="24" borderId="33" xfId="73" applyFont="1" applyFill="1" applyBorder="1" applyAlignment="1">
      <alignment horizontal="right" vertical="center"/>
    </xf>
    <xf numFmtId="0" fontId="42" fillId="24" borderId="34" xfId="73" applyFont="1" applyFill="1" applyBorder="1" applyAlignment="1">
      <alignment horizontal="right" vertical="center"/>
    </xf>
    <xf numFmtId="0" fontId="42" fillId="24" borderId="42" xfId="73" applyFont="1" applyFill="1" applyBorder="1" applyAlignment="1">
      <alignment horizontal="right" vertical="center"/>
    </xf>
    <xf numFmtId="0" fontId="42" fillId="24" borderId="65" xfId="73" applyFont="1" applyFill="1" applyBorder="1" applyAlignment="1">
      <alignment horizontal="left" vertical="center"/>
    </xf>
    <xf numFmtId="0" fontId="42" fillId="24" borderId="63" xfId="73" applyFont="1" applyFill="1" applyBorder="1" applyAlignment="1">
      <alignment horizontal="left" vertical="center"/>
    </xf>
    <xf numFmtId="0" fontId="42" fillId="24" borderId="64" xfId="73" applyFont="1" applyFill="1" applyBorder="1" applyAlignment="1">
      <alignment horizontal="left" vertical="center"/>
    </xf>
    <xf numFmtId="0" fontId="42" fillId="24" borderId="33" xfId="73" applyFont="1" applyFill="1" applyBorder="1" applyAlignment="1">
      <alignment horizontal="left" vertical="center"/>
    </xf>
    <xf numFmtId="0" fontId="42" fillId="24" borderId="34" xfId="73" applyFont="1" applyFill="1" applyBorder="1" applyAlignment="1">
      <alignment horizontal="left" vertical="center"/>
    </xf>
    <xf numFmtId="0" fontId="42" fillId="24" borderId="45" xfId="73" applyFont="1" applyFill="1" applyBorder="1" applyAlignment="1">
      <alignment horizontal="left" vertical="center"/>
    </xf>
    <xf numFmtId="0" fontId="42" fillId="24" borderId="0" xfId="73" applyFont="1" applyFill="1" applyAlignment="1">
      <alignment horizontal="left" vertical="center"/>
    </xf>
    <xf numFmtId="0" fontId="42" fillId="0" borderId="16" xfId="126" applyFont="1" applyBorder="1" applyAlignment="1">
      <alignment horizontal="center" vertical="center" wrapText="1"/>
    </xf>
    <xf numFmtId="44" fontId="41" fillId="0" borderId="38" xfId="34" applyNumberFormat="1" applyFont="1" applyFill="1" applyBorder="1" applyAlignment="1">
      <alignment horizontal="center" vertical="center" wrapText="1"/>
    </xf>
    <xf numFmtId="167" fontId="41" fillId="0" borderId="61" xfId="62" applyNumberFormat="1" applyFont="1" applyFill="1" applyBorder="1" applyAlignment="1">
      <alignment horizontal="center" vertical="center" wrapText="1"/>
    </xf>
    <xf numFmtId="167" fontId="41" fillId="0" borderId="36" xfId="62" applyNumberFormat="1" applyFont="1" applyFill="1" applyBorder="1" applyAlignment="1">
      <alignment horizontal="center" vertical="center" wrapText="1"/>
    </xf>
    <xf numFmtId="167" fontId="41" fillId="0" borderId="18" xfId="62" applyNumberFormat="1" applyFont="1" applyFill="1" applyBorder="1" applyAlignment="1">
      <alignment horizontal="center" vertical="center" wrapText="1"/>
    </xf>
    <xf numFmtId="167" fontId="41" fillId="0" borderId="59" xfId="62" applyNumberFormat="1" applyFont="1" applyFill="1" applyBorder="1" applyAlignment="1">
      <alignment horizontal="center" vertical="center" wrapText="1"/>
    </xf>
    <xf numFmtId="167" fontId="41" fillId="0" borderId="38" xfId="62" applyNumberFormat="1" applyFont="1" applyFill="1" applyBorder="1" applyAlignment="1">
      <alignment horizontal="center" vertical="center" wrapText="1"/>
    </xf>
    <xf numFmtId="167" fontId="41" fillId="0" borderId="19" xfId="62" applyNumberFormat="1" applyFont="1" applyFill="1" applyBorder="1" applyAlignment="1">
      <alignment horizontal="center" vertical="center" wrapText="1"/>
    </xf>
    <xf numFmtId="0" fontId="41" fillId="0" borderId="17" xfId="128" applyFont="1" applyBorder="1" applyAlignment="1">
      <alignment horizontal="right" vertical="center" wrapText="1"/>
    </xf>
    <xf numFmtId="0" fontId="41" fillId="0" borderId="63" xfId="128" applyFont="1" applyBorder="1" applyAlignment="1">
      <alignment horizontal="right" vertical="center" wrapText="1"/>
    </xf>
    <xf numFmtId="0" fontId="41" fillId="0" borderId="64" xfId="128" applyFont="1" applyBorder="1" applyAlignment="1">
      <alignment horizontal="right" vertical="center" wrapText="1"/>
    </xf>
    <xf numFmtId="0" fontId="41" fillId="0" borderId="85" xfId="128" applyFont="1" applyBorder="1" applyAlignment="1">
      <alignment horizontal="right" vertical="center" wrapText="1"/>
    </xf>
    <xf numFmtId="0" fontId="41" fillId="0" borderId="57" xfId="128" applyFont="1" applyBorder="1" applyAlignment="1">
      <alignment horizontal="right" vertical="center" wrapText="1"/>
    </xf>
    <xf numFmtId="0" fontId="41" fillId="0" borderId="58" xfId="128" applyFont="1" applyBorder="1" applyAlignment="1">
      <alignment horizontal="right" vertical="center" wrapText="1"/>
    </xf>
    <xf numFmtId="49" fontId="68" fillId="26" borderId="67" xfId="131" applyNumberFormat="1" applyFont="1" applyFill="1" applyBorder="1" applyAlignment="1">
      <alignment horizontal="left" vertical="center"/>
    </xf>
    <xf numFmtId="49" fontId="68" fillId="26" borderId="68" xfId="131" applyNumberFormat="1" applyFont="1" applyFill="1" applyBorder="1" applyAlignment="1">
      <alignment horizontal="left" vertical="center"/>
    </xf>
    <xf numFmtId="49" fontId="68" fillId="26" borderId="76" xfId="131" applyNumberFormat="1" applyFont="1" applyFill="1" applyBorder="1" applyAlignment="1">
      <alignment horizontal="left" vertical="center"/>
    </xf>
    <xf numFmtId="0" fontId="45" fillId="41" borderId="19" xfId="73" applyFont="1" applyFill="1" applyBorder="1" applyAlignment="1">
      <alignment horizontal="center" vertical="center" wrapText="1"/>
    </xf>
    <xf numFmtId="0" fontId="45" fillId="41" borderId="19" xfId="73" applyFont="1" applyFill="1" applyBorder="1" applyAlignment="1">
      <alignment horizontal="center" vertical="center"/>
    </xf>
    <xf numFmtId="0" fontId="45" fillId="41" borderId="19" xfId="89" applyFont="1" applyFill="1" applyBorder="1" applyAlignment="1">
      <alignment horizontal="center" vertical="center"/>
    </xf>
    <xf numFmtId="0" fontId="45" fillId="41" borderId="77" xfId="89" applyFont="1" applyFill="1" applyBorder="1" applyAlignment="1">
      <alignment horizontal="center" vertical="center"/>
    </xf>
    <xf numFmtId="172" fontId="41" fillId="24" borderId="48" xfId="34" applyFont="1" applyFill="1" applyBorder="1" applyAlignment="1">
      <alignment horizontal="center" vertical="center" wrapText="1"/>
    </xf>
    <xf numFmtId="172" fontId="41" fillId="24" borderId="44" xfId="34" applyFont="1" applyFill="1" applyBorder="1" applyAlignment="1">
      <alignment horizontal="center" vertical="center" wrapText="1"/>
    </xf>
    <xf numFmtId="49" fontId="68" fillId="26" borderId="16" xfId="131" applyNumberFormat="1" applyFont="1" applyFill="1" applyBorder="1" applyAlignment="1">
      <alignment horizontal="left" vertical="center"/>
    </xf>
    <xf numFmtId="49" fontId="68" fillId="26" borderId="71" xfId="131" applyNumberFormat="1" applyFont="1" applyFill="1" applyBorder="1" applyAlignment="1">
      <alignment horizontal="left" vertical="center"/>
    </xf>
    <xf numFmtId="0" fontId="45" fillId="41" borderId="16" xfId="73" applyFont="1" applyFill="1" applyBorder="1" applyAlignment="1">
      <alignment horizontal="center" vertical="center" wrapText="1"/>
    </xf>
    <xf numFmtId="0" fontId="45" fillId="41" borderId="16" xfId="73" applyFont="1" applyFill="1" applyBorder="1" applyAlignment="1">
      <alignment horizontal="center" vertical="center"/>
    </xf>
    <xf numFmtId="0" fontId="45" fillId="41" borderId="16" xfId="89" applyFont="1" applyFill="1" applyBorder="1" applyAlignment="1">
      <alignment horizontal="center" vertical="center"/>
    </xf>
    <xf numFmtId="0" fontId="45" fillId="41" borderId="71" xfId="89" applyFont="1" applyFill="1" applyBorder="1" applyAlignment="1">
      <alignment horizontal="center" vertical="center"/>
    </xf>
    <xf numFmtId="0" fontId="42" fillId="0" borderId="0" xfId="130" applyFont="1" applyAlignment="1">
      <alignment horizontal="center"/>
    </xf>
    <xf numFmtId="0" fontId="42" fillId="24" borderId="13" xfId="73" applyFont="1" applyFill="1" applyBorder="1" applyAlignment="1">
      <alignment horizontal="left" vertical="center"/>
    </xf>
    <xf numFmtId="167" fontId="41" fillId="0" borderId="45" xfId="62" applyNumberFormat="1" applyFont="1" applyFill="1" applyBorder="1" applyAlignment="1">
      <alignment horizontal="center" vertical="center" wrapText="1"/>
    </xf>
    <xf numFmtId="167" fontId="41" fillId="0" borderId="0" xfId="62" applyNumberFormat="1" applyFont="1" applyFill="1" applyBorder="1" applyAlignment="1">
      <alignment horizontal="center" vertical="center" wrapText="1"/>
    </xf>
    <xf numFmtId="167" fontId="41" fillId="0" borderId="13" xfId="62" applyNumberFormat="1" applyFont="1" applyFill="1" applyBorder="1" applyAlignment="1">
      <alignment horizontal="center" vertical="center" wrapText="1"/>
    </xf>
    <xf numFmtId="0" fontId="45" fillId="41" borderId="70" xfId="89" applyFont="1" applyFill="1" applyBorder="1" applyAlignment="1">
      <alignment horizontal="center" vertical="center"/>
    </xf>
    <xf numFmtId="44" fontId="41" fillId="0" borderId="36" xfId="34" applyNumberFormat="1" applyFont="1" applyFill="1" applyBorder="1" applyAlignment="1">
      <alignment horizontal="center" vertical="center" wrapText="1"/>
    </xf>
    <xf numFmtId="0" fontId="41" fillId="0" borderId="14" xfId="79" applyFont="1" applyBorder="1" applyAlignment="1">
      <alignment horizontal="center" vertical="center"/>
    </xf>
    <xf numFmtId="0" fontId="41" fillId="0" borderId="20" xfId="79" applyFont="1" applyBorder="1" applyAlignment="1">
      <alignment horizontal="center" vertical="center"/>
    </xf>
    <xf numFmtId="0" fontId="45" fillId="41" borderId="33" xfId="73" applyFont="1" applyFill="1" applyBorder="1" applyAlignment="1">
      <alignment horizontal="center" vertical="center" wrapText="1"/>
    </xf>
    <xf numFmtId="0" fontId="45" fillId="41" borderId="34" xfId="73" applyFont="1" applyFill="1" applyBorder="1" applyAlignment="1">
      <alignment horizontal="center" vertical="center"/>
    </xf>
    <xf numFmtId="0" fontId="42" fillId="0" borderId="68" xfId="126" applyFont="1" applyBorder="1" applyAlignment="1">
      <alignment horizontal="center" vertical="center" wrapText="1"/>
    </xf>
    <xf numFmtId="0" fontId="42" fillId="0" borderId="23" xfId="126" applyFont="1" applyBorder="1" applyAlignment="1">
      <alignment horizontal="center" vertical="center" wrapText="1"/>
    </xf>
    <xf numFmtId="0" fontId="42" fillId="0" borderId="21" xfId="128" applyFont="1" applyBorder="1" applyAlignment="1">
      <alignment horizontal="right" vertical="center" wrapText="1"/>
    </xf>
    <xf numFmtId="0" fontId="42" fillId="0" borderId="25" xfId="128" applyFont="1" applyBorder="1" applyAlignment="1">
      <alignment horizontal="right" vertical="center" wrapText="1"/>
    </xf>
    <xf numFmtId="0" fontId="42" fillId="0" borderId="22" xfId="128" applyFont="1" applyBorder="1" applyAlignment="1">
      <alignment horizontal="right" vertical="center" wrapText="1"/>
    </xf>
    <xf numFmtId="0" fontId="42" fillId="0" borderId="21" xfId="128" applyFont="1" applyBorder="1" applyAlignment="1">
      <alignment horizontal="right" vertical="center"/>
    </xf>
    <xf numFmtId="0" fontId="42" fillId="0" borderId="25" xfId="128" applyFont="1" applyBorder="1" applyAlignment="1">
      <alignment horizontal="right" vertical="center"/>
    </xf>
    <xf numFmtId="0" fontId="42" fillId="0" borderId="22" xfId="128" applyFont="1" applyBorder="1" applyAlignment="1">
      <alignment horizontal="right" vertical="center"/>
    </xf>
    <xf numFmtId="0" fontId="41" fillId="0" borderId="28" xfId="128" applyFont="1" applyBorder="1" applyAlignment="1">
      <alignment horizontal="right" vertical="center" wrapText="1"/>
    </xf>
    <xf numFmtId="0" fontId="41" fillId="0" borderId="14" xfId="128" applyFont="1" applyBorder="1" applyAlignment="1">
      <alignment horizontal="right" vertical="center" wrapText="1"/>
    </xf>
    <xf numFmtId="0" fontId="41" fillId="0" borderId="15" xfId="128" applyFont="1" applyBorder="1" applyAlignment="1">
      <alignment horizontal="right" vertical="center" wrapText="1"/>
    </xf>
    <xf numFmtId="172" fontId="41" fillId="0" borderId="57" xfId="34" applyFont="1" applyFill="1" applyBorder="1" applyAlignment="1">
      <alignment horizontal="center" vertical="center" wrapText="1"/>
    </xf>
    <xf numFmtId="0" fontId="41" fillId="25" borderId="59" xfId="130" applyFont="1" applyFill="1" applyBorder="1" applyAlignment="1">
      <alignment horizontal="center" vertical="center" wrapText="1"/>
    </xf>
    <xf numFmtId="0" fontId="41" fillId="25" borderId="86" xfId="130" applyFont="1" applyFill="1" applyBorder="1" applyAlignment="1">
      <alignment horizontal="center" vertical="center" wrapText="1"/>
    </xf>
    <xf numFmtId="0" fontId="41" fillId="0" borderId="27" xfId="130" applyFont="1" applyBorder="1" applyAlignment="1">
      <alignment vertical="center" wrapText="1"/>
    </xf>
    <xf numFmtId="0" fontId="41" fillId="0" borderId="16" xfId="130" applyFont="1" applyBorder="1" applyAlignment="1">
      <alignment vertical="center" wrapText="1"/>
    </xf>
    <xf numFmtId="0" fontId="42" fillId="0" borderId="16" xfId="130" applyFont="1" applyBorder="1" applyAlignment="1">
      <alignment horizontal="center" vertical="center" wrapText="1"/>
    </xf>
    <xf numFmtId="0" fontId="42" fillId="0" borderId="16" xfId="130" applyFont="1" applyBorder="1" applyAlignment="1">
      <alignment horizontal="center" vertical="center"/>
    </xf>
    <xf numFmtId="3" fontId="42" fillId="0" borderId="16" xfId="130" applyNumberFormat="1" applyFont="1" applyBorder="1" applyAlignment="1">
      <alignment horizontal="center" vertical="center" wrapText="1"/>
    </xf>
    <xf numFmtId="3" fontId="42" fillId="0" borderId="16" xfId="130" applyNumberFormat="1" applyFont="1" applyBorder="1" applyAlignment="1">
      <alignment horizontal="center" vertical="center"/>
    </xf>
    <xf numFmtId="3" fontId="42" fillId="0" borderId="19" xfId="130" applyNumberFormat="1" applyFont="1" applyBorder="1" applyAlignment="1">
      <alignment horizontal="center" vertical="center" wrapText="1"/>
    </xf>
    <xf numFmtId="0" fontId="41" fillId="0" borderId="16" xfId="128" applyFont="1" applyBorder="1" applyAlignment="1">
      <alignment horizontal="right" vertical="center" wrapText="1"/>
    </xf>
    <xf numFmtId="0" fontId="42" fillId="24" borderId="11" xfId="73" applyFont="1" applyFill="1" applyBorder="1" applyAlignment="1">
      <alignment horizontal="left" vertical="center"/>
    </xf>
    <xf numFmtId="0" fontId="42" fillId="24" borderId="33" xfId="73" applyFont="1" applyFill="1" applyBorder="1" applyAlignment="1">
      <alignment horizontal="center" vertical="center" wrapText="1"/>
    </xf>
    <xf numFmtId="0" fontId="42" fillId="24" borderId="34" xfId="73" applyFont="1" applyFill="1" applyBorder="1" applyAlignment="1">
      <alignment horizontal="center" vertical="center"/>
    </xf>
    <xf numFmtId="0" fontId="42" fillId="24" borderId="35" xfId="73" applyFont="1" applyFill="1" applyBorder="1" applyAlignment="1">
      <alignment horizontal="center" vertical="center"/>
    </xf>
    <xf numFmtId="0" fontId="42" fillId="25" borderId="16" xfId="89" applyFont="1" applyFill="1" applyBorder="1" applyAlignment="1">
      <alignment vertical="center" wrapText="1"/>
    </xf>
    <xf numFmtId="0" fontId="42" fillId="25" borderId="65" xfId="89" applyFont="1" applyFill="1" applyBorder="1" applyAlignment="1">
      <alignment horizontal="center" vertical="center" wrapText="1"/>
    </xf>
    <xf numFmtId="0" fontId="42" fillId="25" borderId="63" xfId="89" applyFont="1" applyFill="1" applyBorder="1" applyAlignment="1">
      <alignment horizontal="center" vertical="center" wrapText="1"/>
    </xf>
    <xf numFmtId="0" fontId="42" fillId="25" borderId="64" xfId="89" applyFont="1" applyFill="1" applyBorder="1" applyAlignment="1">
      <alignment horizontal="center" vertical="center" wrapText="1"/>
    </xf>
    <xf numFmtId="0" fontId="42" fillId="25" borderId="16" xfId="89" applyFont="1" applyFill="1" applyBorder="1" applyAlignment="1">
      <alignment horizontal="left" vertical="center" wrapText="1"/>
    </xf>
    <xf numFmtId="44" fontId="67" fillId="25" borderId="16" xfId="341" applyFont="1" applyFill="1" applyBorder="1" applyAlignment="1">
      <alignment horizontal="left" vertical="center" wrapText="1"/>
    </xf>
    <xf numFmtId="44" fontId="67" fillId="25" borderId="65" xfId="341" applyFont="1" applyFill="1" applyBorder="1" applyAlignment="1">
      <alignment horizontal="left" vertical="center" wrapText="1"/>
    </xf>
    <xf numFmtId="44" fontId="67" fillId="25" borderId="65" xfId="341" applyFont="1" applyFill="1" applyBorder="1" applyAlignment="1">
      <alignment vertical="center" wrapText="1"/>
    </xf>
    <xf numFmtId="44" fontId="67" fillId="25" borderId="63" xfId="341" applyFont="1" applyFill="1" applyBorder="1" applyAlignment="1">
      <alignment vertical="center" wrapText="1"/>
    </xf>
    <xf numFmtId="44" fontId="67" fillId="25" borderId="64" xfId="341" applyFont="1" applyFill="1" applyBorder="1" applyAlignment="1">
      <alignment vertical="center" wrapText="1"/>
    </xf>
    <xf numFmtId="0" fontId="42" fillId="0" borderId="16" xfId="89" applyFont="1" applyBorder="1" applyAlignment="1">
      <alignment horizontal="center" vertical="center" wrapText="1"/>
    </xf>
    <xf numFmtId="0" fontId="42" fillId="0" borderId="16" xfId="89" applyFont="1" applyBorder="1" applyAlignment="1">
      <alignment horizontal="center" vertical="center"/>
    </xf>
    <xf numFmtId="0" fontId="42" fillId="25" borderId="16" xfId="89" applyFont="1" applyFill="1" applyBorder="1" applyAlignment="1">
      <alignment horizontal="center" vertical="center" wrapText="1"/>
    </xf>
    <xf numFmtId="0" fontId="41" fillId="25" borderId="16" xfId="89" applyFont="1" applyFill="1" applyBorder="1" applyAlignment="1">
      <alignment horizontal="left" vertical="center" wrapText="1"/>
    </xf>
    <xf numFmtId="0" fontId="41" fillId="25" borderId="65" xfId="89" applyFont="1" applyFill="1" applyBorder="1" applyAlignment="1">
      <alignment horizontal="center" vertical="center" wrapText="1"/>
    </xf>
    <xf numFmtId="0" fontId="41" fillId="25" borderId="63" xfId="89" applyFont="1" applyFill="1" applyBorder="1" applyAlignment="1">
      <alignment horizontal="center" vertical="center" wrapText="1"/>
    </xf>
    <xf numFmtId="0" fontId="41" fillId="25" borderId="64" xfId="89" applyFont="1" applyFill="1" applyBorder="1" applyAlignment="1">
      <alignment horizontal="center" vertical="center" wrapText="1"/>
    </xf>
    <xf numFmtId="0" fontId="42" fillId="25" borderId="65" xfId="89" applyFont="1" applyFill="1" applyBorder="1" applyAlignment="1">
      <alignment horizontal="left" vertical="center" wrapText="1"/>
    </xf>
    <xf numFmtId="0" fontId="42" fillId="25" borderId="0" xfId="130" applyFont="1" applyFill="1" applyAlignment="1">
      <alignment horizontal="center" vertical="center" wrapText="1"/>
    </xf>
    <xf numFmtId="0" fontId="42" fillId="0" borderId="80" xfId="89" applyFont="1" applyBorder="1" applyAlignment="1">
      <alignment horizontal="center"/>
    </xf>
    <xf numFmtId="0" fontId="41" fillId="25" borderId="0" xfId="130" applyFont="1" applyFill="1" applyAlignment="1">
      <alignment horizontal="center" vertical="center" wrapText="1"/>
    </xf>
    <xf numFmtId="204" fontId="41" fillId="0" borderId="0" xfId="228" applyNumberFormat="1" applyFont="1" applyAlignment="1">
      <alignment horizontal="center" vertical="center"/>
    </xf>
    <xf numFmtId="0" fontId="49" fillId="0" borderId="30" xfId="0" applyFont="1" applyBorder="1" applyAlignment="1">
      <alignment horizontal="center"/>
    </xf>
    <xf numFmtId="0" fontId="49" fillId="0" borderId="0" xfId="0" applyFont="1" applyAlignment="1">
      <alignment horizontal="center"/>
    </xf>
    <xf numFmtId="0" fontId="49" fillId="0" borderId="31" xfId="0" applyFont="1" applyBorder="1" applyAlignment="1">
      <alignment horizontal="center"/>
    </xf>
    <xf numFmtId="16" fontId="45" fillId="0" borderId="91" xfId="0" applyNumberFormat="1" applyFont="1" applyBorder="1" applyAlignment="1" applyProtection="1">
      <alignment horizontal="center" vertical="center" wrapText="1"/>
      <protection locked="0"/>
    </xf>
    <xf numFmtId="16" fontId="45" fillId="0" borderId="63" xfId="0" applyNumberFormat="1" applyFont="1" applyBorder="1" applyAlignment="1" applyProtection="1">
      <alignment horizontal="center" vertical="center" wrapText="1"/>
      <protection locked="0"/>
    </xf>
    <xf numFmtId="16" fontId="45" fillId="0" borderId="92" xfId="0" applyNumberFormat="1" applyFont="1" applyBorder="1" applyAlignment="1" applyProtection="1">
      <alignment horizontal="center" vertical="center" wrapText="1"/>
      <protection locked="0"/>
    </xf>
    <xf numFmtId="0" fontId="42" fillId="0" borderId="91" xfId="0" applyFont="1" applyBorder="1" applyAlignment="1" applyProtection="1">
      <alignment horizontal="left" vertical="center" wrapText="1"/>
      <protection locked="0"/>
    </xf>
    <xf numFmtId="0" fontId="42" fillId="0" borderId="63" xfId="0" applyFont="1" applyBorder="1" applyAlignment="1" applyProtection="1">
      <alignment horizontal="left" vertical="center" wrapText="1"/>
      <protection locked="0"/>
    </xf>
    <xf numFmtId="0" fontId="42" fillId="0" borderId="92" xfId="0" applyFont="1" applyBorder="1" applyAlignment="1" applyProtection="1">
      <alignment horizontal="left" vertical="center" wrapText="1"/>
      <protection locked="0"/>
    </xf>
    <xf numFmtId="0" fontId="67" fillId="0" borderId="90" xfId="0" applyFont="1" applyBorder="1" applyAlignment="1" applyProtection="1">
      <alignment horizontal="left" vertical="center" wrapText="1"/>
      <protection locked="0"/>
    </xf>
    <xf numFmtId="0" fontId="67" fillId="0" borderId="16" xfId="0" applyFont="1" applyBorder="1" applyAlignment="1" applyProtection="1">
      <alignment horizontal="left" vertical="center" wrapText="1"/>
      <protection locked="0"/>
    </xf>
    <xf numFmtId="0" fontId="67" fillId="0" borderId="71" xfId="0" applyFont="1" applyBorder="1" applyAlignment="1" applyProtection="1">
      <alignment horizontal="left" vertical="center" wrapText="1"/>
      <protection locked="0"/>
    </xf>
    <xf numFmtId="0" fontId="41" fillId="0" borderId="59" xfId="0" applyFont="1" applyBorder="1" applyAlignment="1">
      <alignment horizontal="center" vertical="center" wrapText="1"/>
    </xf>
    <xf numFmtId="0" fontId="41" fillId="0" borderId="38" xfId="0" applyFont="1" applyBorder="1" applyAlignment="1">
      <alignment horizontal="center" vertical="center" wrapText="1"/>
    </xf>
    <xf numFmtId="0" fontId="41" fillId="0" borderId="19" xfId="0" applyFont="1" applyBorder="1" applyAlignment="1">
      <alignment horizontal="center" vertical="center" wrapText="1"/>
    </xf>
    <xf numFmtId="2" fontId="41" fillId="0" borderId="59" xfId="0" applyNumberFormat="1" applyFont="1" applyBorder="1" applyAlignment="1">
      <alignment horizontal="center" vertical="center" wrapText="1"/>
    </xf>
    <xf numFmtId="2" fontId="41" fillId="0" borderId="38" xfId="0" applyNumberFormat="1" applyFont="1" applyBorder="1" applyAlignment="1">
      <alignment horizontal="center" vertical="center" wrapText="1"/>
    </xf>
    <xf numFmtId="2" fontId="41" fillId="0" borderId="19" xfId="0" applyNumberFormat="1" applyFont="1" applyBorder="1" applyAlignment="1">
      <alignment horizontal="center" vertical="center" wrapText="1"/>
    </xf>
    <xf numFmtId="0" fontId="44" fillId="0" borderId="59" xfId="0" applyFont="1" applyBorder="1" applyAlignment="1">
      <alignment horizontal="center" vertical="center"/>
    </xf>
    <xf numFmtId="0" fontId="44" fillId="0" borderId="38" xfId="0" applyFont="1" applyBorder="1" applyAlignment="1">
      <alignment horizontal="center" vertical="center"/>
    </xf>
    <xf numFmtId="0" fontId="44" fillId="0" borderId="19" xfId="0" applyFont="1" applyBorder="1" applyAlignment="1">
      <alignment horizontal="center" vertical="center"/>
    </xf>
    <xf numFmtId="2" fontId="41" fillId="0" borderId="83" xfId="36" applyNumberFormat="1" applyFont="1" applyFill="1" applyBorder="1" applyAlignment="1" applyProtection="1">
      <alignment horizontal="center" vertical="center" wrapText="1"/>
      <protection locked="0"/>
    </xf>
    <xf numFmtId="2" fontId="41" fillId="0" borderId="97" xfId="36" applyNumberFormat="1" applyFont="1" applyFill="1" applyBorder="1" applyAlignment="1" applyProtection="1">
      <alignment horizontal="center" vertical="center" wrapText="1"/>
      <protection locked="0"/>
    </xf>
    <xf numFmtId="2" fontId="41" fillId="0" borderId="77" xfId="36" applyNumberFormat="1" applyFont="1" applyFill="1" applyBorder="1" applyAlignment="1" applyProtection="1">
      <alignment horizontal="center" vertical="center" wrapText="1"/>
      <protection locked="0"/>
    </xf>
    <xf numFmtId="16" fontId="45" fillId="0" borderId="90" xfId="0" applyNumberFormat="1" applyFont="1" applyBorder="1" applyAlignment="1" applyProtection="1">
      <alignment horizontal="center" vertical="center" wrapText="1"/>
      <protection locked="0"/>
    </xf>
    <xf numFmtId="16" fontId="45" fillId="0" borderId="16" xfId="0" applyNumberFormat="1" applyFont="1" applyBorder="1" applyAlignment="1" applyProtection="1">
      <alignment horizontal="center" vertical="center" wrapText="1"/>
      <protection locked="0"/>
    </xf>
    <xf numFmtId="16" fontId="45" fillId="0" borderId="71" xfId="0" applyNumberFormat="1" applyFont="1" applyBorder="1" applyAlignment="1" applyProtection="1">
      <alignment horizontal="center" vertical="center" wrapText="1"/>
      <protection locked="0"/>
    </xf>
    <xf numFmtId="0" fontId="41" fillId="0" borderId="91" xfId="0" applyFont="1" applyBorder="1" applyAlignment="1" applyProtection="1">
      <alignment horizontal="center" vertical="center" wrapText="1"/>
      <protection locked="0"/>
    </xf>
    <xf numFmtId="0" fontId="41" fillId="0" borderId="63" xfId="0" applyFont="1" applyBorder="1" applyAlignment="1" applyProtection="1">
      <alignment horizontal="center" vertical="center" wrapText="1"/>
      <protection locked="0"/>
    </xf>
    <xf numFmtId="0" fontId="41" fillId="0" borderId="92" xfId="0" applyFont="1" applyBorder="1" applyAlignment="1" applyProtection="1">
      <alignment horizontal="center" vertical="center" wrapText="1"/>
      <protection locked="0"/>
    </xf>
    <xf numFmtId="0" fontId="42" fillId="27" borderId="65" xfId="0" applyFont="1" applyFill="1" applyBorder="1" applyAlignment="1" applyProtection="1">
      <alignment horizontal="center" vertical="center" wrapText="1"/>
      <protection locked="0"/>
    </xf>
    <xf numFmtId="0" fontId="42" fillId="27" borderId="63" xfId="0" applyFont="1" applyFill="1" applyBorder="1" applyAlignment="1" applyProtection="1">
      <alignment horizontal="center" vertical="center" wrapText="1"/>
      <protection locked="0"/>
    </xf>
    <xf numFmtId="0" fontId="42" fillId="27" borderId="92" xfId="0" applyFont="1" applyFill="1" applyBorder="1" applyAlignment="1" applyProtection="1">
      <alignment horizontal="center" vertical="center" wrapText="1"/>
      <protection locked="0"/>
    </xf>
    <xf numFmtId="0" fontId="42" fillId="37" borderId="65" xfId="0" applyFont="1" applyFill="1" applyBorder="1" applyAlignment="1" applyProtection="1">
      <alignment horizontal="center" vertical="center" wrapText="1"/>
      <protection locked="0"/>
    </xf>
    <xf numFmtId="0" fontId="42" fillId="37" borderId="63" xfId="0" applyFont="1" applyFill="1" applyBorder="1" applyAlignment="1" applyProtection="1">
      <alignment horizontal="center" vertical="center" wrapText="1"/>
      <protection locked="0"/>
    </xf>
    <xf numFmtId="0" fontId="42" fillId="37" borderId="64" xfId="0" applyFont="1" applyFill="1" applyBorder="1" applyAlignment="1" applyProtection="1">
      <alignment horizontal="center" vertical="center" wrapText="1"/>
      <protection locked="0"/>
    </xf>
    <xf numFmtId="0" fontId="42" fillId="27" borderId="64" xfId="0" applyFont="1" applyFill="1" applyBorder="1" applyAlignment="1" applyProtection="1">
      <alignment horizontal="center" vertical="center" wrapText="1"/>
      <protection locked="0"/>
    </xf>
    <xf numFmtId="0" fontId="42" fillId="28" borderId="65" xfId="0" applyFont="1" applyFill="1" applyBorder="1" applyAlignment="1" applyProtection="1">
      <alignment horizontal="center" vertical="center" wrapText="1"/>
      <protection locked="0"/>
    </xf>
    <xf numFmtId="0" fontId="42" fillId="28" borderId="63" xfId="0" applyFont="1" applyFill="1" applyBorder="1" applyAlignment="1" applyProtection="1">
      <alignment horizontal="center" vertical="center" wrapText="1"/>
      <protection locked="0"/>
    </xf>
    <xf numFmtId="0" fontId="42" fillId="28" borderId="64" xfId="0" applyFont="1" applyFill="1" applyBorder="1" applyAlignment="1" applyProtection="1">
      <alignment horizontal="center" vertical="center" wrapText="1"/>
      <protection locked="0"/>
    </xf>
    <xf numFmtId="0" fontId="39" fillId="0" borderId="87" xfId="0" applyFont="1" applyBorder="1" applyAlignment="1">
      <alignment horizontal="center" vertical="center" wrapText="1"/>
    </xf>
    <xf numFmtId="0" fontId="39" fillId="0" borderId="88" xfId="0" applyFont="1" applyBorder="1" applyAlignment="1">
      <alignment horizontal="center" vertical="center" wrapText="1"/>
    </xf>
    <xf numFmtId="0" fontId="39" fillId="0" borderId="90" xfId="0" applyFont="1" applyBorder="1" applyAlignment="1">
      <alignment horizontal="center" vertical="center" wrapText="1"/>
    </xf>
    <xf numFmtId="0" fontId="39" fillId="0" borderId="16" xfId="0" applyFont="1" applyBorder="1" applyAlignment="1">
      <alignment horizontal="center" vertical="center" wrapText="1"/>
    </xf>
    <xf numFmtId="0" fontId="41" fillId="0" borderId="91" xfId="0" applyFont="1" applyBorder="1" applyAlignment="1">
      <alignment horizontal="center"/>
    </xf>
    <xf numFmtId="0" fontId="41" fillId="0" borderId="63" xfId="0" applyFont="1" applyBorder="1" applyAlignment="1">
      <alignment horizontal="center"/>
    </xf>
    <xf numFmtId="0" fontId="41" fillId="0" borderId="92" xfId="0" applyFont="1" applyBorder="1" applyAlignment="1">
      <alignment horizontal="center"/>
    </xf>
    <xf numFmtId="0" fontId="42" fillId="27" borderId="65" xfId="135" applyFont="1" applyFill="1" applyBorder="1" applyAlignment="1" applyProtection="1">
      <alignment horizontal="center" vertical="center" wrapText="1"/>
      <protection locked="0"/>
    </xf>
    <xf numFmtId="0" fontId="42" fillId="27" borderId="63" xfId="135" applyFont="1" applyFill="1" applyBorder="1" applyAlignment="1" applyProtection="1">
      <alignment horizontal="center" vertical="center" wrapText="1"/>
      <protection locked="0"/>
    </xf>
    <xf numFmtId="0" fontId="42" fillId="27" borderId="64" xfId="135" applyFont="1" applyFill="1" applyBorder="1" applyAlignment="1" applyProtection="1">
      <alignment horizontal="center" vertical="center" wrapText="1"/>
      <protection locked="0"/>
    </xf>
    <xf numFmtId="0" fontId="41" fillId="0" borderId="91" xfId="135" applyFont="1" applyBorder="1" applyAlignment="1" applyProtection="1">
      <alignment horizontal="center" vertical="center" wrapText="1"/>
      <protection locked="0"/>
    </xf>
    <xf numFmtId="0" fontId="41" fillId="0" borderId="63" xfId="135" applyFont="1" applyBorder="1" applyAlignment="1" applyProtection="1">
      <alignment horizontal="center" vertical="center" wrapText="1"/>
      <protection locked="0"/>
    </xf>
    <xf numFmtId="0" fontId="41" fillId="0" borderId="92" xfId="135" applyFont="1" applyBorder="1" applyAlignment="1" applyProtection="1">
      <alignment horizontal="center" vertical="center" wrapText="1"/>
      <protection locked="0"/>
    </xf>
    <xf numFmtId="0" fontId="41" fillId="0" borderId="83" xfId="0" applyFont="1" applyBorder="1" applyAlignment="1">
      <alignment horizontal="center" vertical="center" wrapText="1"/>
    </xf>
    <xf numFmtId="0" fontId="41" fillId="0" borderId="97" xfId="0" applyFont="1" applyBorder="1" applyAlignment="1">
      <alignment horizontal="center" vertical="center" wrapText="1"/>
    </xf>
    <xf numFmtId="0" fontId="41" fillId="0" borderId="77" xfId="0" applyFont="1" applyBorder="1" applyAlignment="1">
      <alignment horizontal="center" vertical="center" wrapText="1"/>
    </xf>
    <xf numFmtId="16" fontId="45" fillId="31" borderId="30" xfId="0" applyNumberFormat="1" applyFont="1" applyFill="1" applyBorder="1" applyAlignment="1" applyProtection="1">
      <alignment horizontal="center" vertical="center" wrapText="1"/>
      <protection locked="0"/>
    </xf>
    <xf numFmtId="16" fontId="45" fillId="31" borderId="0" xfId="0" applyNumberFormat="1" applyFont="1" applyFill="1" applyAlignment="1" applyProtection="1">
      <alignment horizontal="center" vertical="center" wrapText="1"/>
      <protection locked="0"/>
    </xf>
    <xf numFmtId="16" fontId="45" fillId="31" borderId="31" xfId="0" applyNumberFormat="1" applyFont="1" applyFill="1" applyBorder="1" applyAlignment="1" applyProtection="1">
      <alignment horizontal="center" vertical="center" wrapText="1"/>
      <protection locked="0"/>
    </xf>
    <xf numFmtId="0" fontId="39" fillId="0" borderId="99" xfId="0" applyFont="1" applyBorder="1" applyAlignment="1">
      <alignment horizontal="center" vertical="center" wrapText="1"/>
    </xf>
    <xf numFmtId="0" fontId="39" fillId="0" borderId="57" xfId="0" applyFont="1" applyBorder="1" applyAlignment="1">
      <alignment horizontal="center" vertical="center" wrapText="1"/>
    </xf>
    <xf numFmtId="0" fontId="39" fillId="0" borderId="58"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0" xfId="0" applyFont="1" applyAlignment="1">
      <alignment horizontal="center" vertical="center" wrapText="1"/>
    </xf>
    <xf numFmtId="0" fontId="39" fillId="0" borderId="36" xfId="0" applyFont="1" applyBorder="1" applyAlignment="1">
      <alignment horizontal="center" vertical="center" wrapText="1"/>
    </xf>
    <xf numFmtId="0" fontId="39" fillId="0" borderId="100" xfId="0" applyFont="1" applyBorder="1" applyAlignment="1">
      <alignment horizontal="center" vertical="center" wrapText="1"/>
    </xf>
    <xf numFmtId="0" fontId="39" fillId="0" borderId="44" xfId="0" applyFont="1" applyBorder="1" applyAlignment="1">
      <alignment horizontal="center" vertical="center" wrapText="1"/>
    </xf>
    <xf numFmtId="0" fontId="39" fillId="0" borderId="49" xfId="0" applyFont="1" applyBorder="1" applyAlignment="1">
      <alignment horizontal="center" vertical="center" wrapText="1"/>
    </xf>
    <xf numFmtId="0" fontId="42" fillId="0" borderId="91" xfId="0" applyFont="1" applyBorder="1" applyAlignment="1" applyProtection="1">
      <alignment horizontal="center" vertical="center" wrapText="1"/>
      <protection locked="0"/>
    </xf>
    <xf numFmtId="0" fontId="42" fillId="0" borderId="63" xfId="0" applyFont="1" applyBorder="1" applyAlignment="1" applyProtection="1">
      <alignment horizontal="center" vertical="center" wrapText="1"/>
      <protection locked="0"/>
    </xf>
    <xf numFmtId="0" fontId="42" fillId="0" borderId="92" xfId="0" applyFont="1" applyBorder="1" applyAlignment="1" applyProtection="1">
      <alignment horizontal="center" vertical="center" wrapText="1"/>
      <protection locked="0"/>
    </xf>
    <xf numFmtId="16" fontId="45" fillId="0" borderId="91" xfId="0" applyNumberFormat="1" applyFont="1" applyBorder="1" applyAlignment="1" applyProtection="1">
      <alignment horizontal="left" vertical="center" wrapText="1"/>
      <protection locked="0"/>
    </xf>
    <xf numFmtId="16" fontId="45" fillId="0" borderId="63" xfId="0" applyNumberFormat="1" applyFont="1" applyBorder="1" applyAlignment="1" applyProtection="1">
      <alignment horizontal="left" vertical="center" wrapText="1"/>
      <protection locked="0"/>
    </xf>
    <xf numFmtId="16" fontId="45" fillId="0" borderId="92" xfId="0" applyNumberFormat="1" applyFont="1" applyBorder="1" applyAlignment="1" applyProtection="1">
      <alignment horizontal="left" vertical="center" wrapText="1"/>
      <protection locked="0"/>
    </xf>
    <xf numFmtId="0" fontId="42" fillId="26" borderId="65" xfId="0" applyFont="1" applyFill="1" applyBorder="1" applyAlignment="1" applyProtection="1">
      <alignment horizontal="center" vertical="center" wrapText="1"/>
      <protection locked="0"/>
    </xf>
    <xf numFmtId="0" fontId="42" fillId="26" borderId="63" xfId="0" applyFont="1" applyFill="1" applyBorder="1" applyAlignment="1" applyProtection="1">
      <alignment horizontal="center" vertical="center" wrapText="1"/>
      <protection locked="0"/>
    </xf>
    <xf numFmtId="0" fontId="42" fillId="26" borderId="92" xfId="0" applyFont="1" applyFill="1" applyBorder="1" applyAlignment="1" applyProtection="1">
      <alignment horizontal="center" vertical="center" wrapText="1"/>
      <protection locked="0"/>
    </xf>
    <xf numFmtId="0" fontId="42" fillId="40" borderId="65" xfId="0" applyFont="1" applyFill="1" applyBorder="1" applyAlignment="1" applyProtection="1">
      <alignment horizontal="center" vertical="center" wrapText="1"/>
      <protection locked="0"/>
    </xf>
    <xf numFmtId="0" fontId="42" fillId="40" borderId="63" xfId="0" applyFont="1" applyFill="1" applyBorder="1" applyAlignment="1" applyProtection="1">
      <alignment horizontal="center" vertical="center" wrapText="1"/>
      <protection locked="0"/>
    </xf>
    <xf numFmtId="0" fontId="42" fillId="40" borderId="92" xfId="0" applyFont="1" applyFill="1" applyBorder="1" applyAlignment="1" applyProtection="1">
      <alignment horizontal="center" vertical="center" wrapText="1"/>
      <protection locked="0"/>
    </xf>
    <xf numFmtId="0" fontId="60" fillId="25" borderId="0" xfId="130" applyFont="1" applyFill="1" applyAlignment="1">
      <alignment horizontal="center" vertical="center" wrapText="1"/>
    </xf>
    <xf numFmtId="204" fontId="60" fillId="0" borderId="0" xfId="228" applyNumberFormat="1" applyFont="1" applyAlignment="1">
      <alignment horizontal="center" vertical="center"/>
    </xf>
    <xf numFmtId="204" fontId="60" fillId="0" borderId="31" xfId="228" applyNumberFormat="1" applyFont="1" applyBorder="1" applyAlignment="1">
      <alignment horizontal="center" vertical="center"/>
    </xf>
    <xf numFmtId="0" fontId="59" fillId="25" borderId="0" xfId="130" applyFont="1" applyFill="1" applyAlignment="1">
      <alignment horizontal="center" vertical="center" wrapText="1"/>
    </xf>
    <xf numFmtId="0" fontId="59" fillId="25" borderId="31" xfId="130" applyFont="1" applyFill="1" applyBorder="1" applyAlignment="1">
      <alignment horizontal="center" vertical="center" wrapText="1"/>
    </xf>
    <xf numFmtId="0" fontId="59" fillId="0" borderId="80" xfId="89" applyFont="1" applyBorder="1" applyAlignment="1">
      <alignment horizontal="center"/>
    </xf>
    <xf numFmtId="0" fontId="59" fillId="0" borderId="81" xfId="89" applyFont="1" applyBorder="1" applyAlignment="1">
      <alignment horizontal="center"/>
    </xf>
  </cellXfs>
  <cellStyles count="34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2 2" xfId="258" xr:uid="{7CDD76B7-D00A-4C5D-8A9C-800384986BAD}"/>
    <cellStyle name="Cálculo 3" xfId="155" xr:uid="{00000000-0005-0000-0000-000027000000}"/>
    <cellStyle name="Cálculo 3 2" xfId="333" xr:uid="{5319ED53-FF56-4F6C-8416-AB6B67D64C8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2 2" xfId="259" xr:uid="{10C671AC-4846-4522-929D-AED8CA268777}"/>
    <cellStyle name="Entrada 3" xfId="183" xr:uid="{00000000-0005-0000-0000-00004D000000}"/>
    <cellStyle name="Entrada 3 2" xfId="334" xr:uid="{E5C0154E-FAA8-4364-A756-AD2B88D86CCC}"/>
    <cellStyle name="Estilo 1" xfId="31" xr:uid="{00000000-0005-0000-0000-00004E000000}"/>
    <cellStyle name="Euro" xfId="32" xr:uid="{00000000-0005-0000-0000-00004F000000}"/>
    <cellStyle name="Euro 2" xfId="260" xr:uid="{05051939-FFB3-4BF4-91C9-11553367A9A1}"/>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5"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62" xr:uid="{F362F2B6-EA1F-417A-B8AE-E6DEA94AA90C}"/>
    <cellStyle name="Millares 10 3" xfId="261" xr:uid="{ABB5907D-780A-4A42-B059-7094C5C61478}"/>
    <cellStyle name="Millares 11" xfId="38" xr:uid="{00000000-0005-0000-0000-000069000000}"/>
    <cellStyle name="Millares 11 2" xfId="203" xr:uid="{00000000-0005-0000-0000-00006A000000}"/>
    <cellStyle name="Millares 11 2 2" xfId="335" xr:uid="{6588227E-8550-4AA3-8E3F-097D0AF72FC0}"/>
    <cellStyle name="Millares 11 3" xfId="263" xr:uid="{888F36A4-E5F4-4C65-AE20-B5584818F644}"/>
    <cellStyle name="Millares 12" xfId="125" xr:uid="{00000000-0005-0000-0000-00006B000000}"/>
    <cellStyle name="Millares 12 2" xfId="328" xr:uid="{246805FB-128C-4B89-8A13-F04540CE2905}"/>
    <cellStyle name="Millares 13" xfId="134" xr:uid="{00000000-0005-0000-0000-00006C000000}"/>
    <cellStyle name="Millares 13 2" xfId="332" xr:uid="{B18E35C1-E4F0-4C8F-A049-0155BA014F71}"/>
    <cellStyle name="Millares 2" xfId="39" xr:uid="{00000000-0005-0000-0000-00006D000000}"/>
    <cellStyle name="Millares 2 2" xfId="40" xr:uid="{00000000-0005-0000-0000-00006E000000}"/>
    <cellStyle name="Millares 2 2 2" xfId="265" xr:uid="{6CF54D6B-F1BB-4863-AAB4-29569F0CCA2D}"/>
    <cellStyle name="Millares 2 3" xfId="41" xr:uid="{00000000-0005-0000-0000-00006F000000}"/>
    <cellStyle name="Millares 2 3 2" xfId="266" xr:uid="{1A8B77E1-A6A1-4EC4-80AE-060057157464}"/>
    <cellStyle name="Millares 2 4" xfId="204" xr:uid="{00000000-0005-0000-0000-000070000000}"/>
    <cellStyle name="Millares 2 5" xfId="42" xr:uid="{00000000-0005-0000-0000-000071000000}"/>
    <cellStyle name="Millares 2 5 2" xfId="267" xr:uid="{55C5677F-E1C6-4DBE-A2FB-B4086C907C84}"/>
    <cellStyle name="Millares 2 6" xfId="264" xr:uid="{9550F8BD-9DFF-413C-9BCB-0D2FA0FD0F61}"/>
    <cellStyle name="Millares 2_APU´S_NO_PREVISTOS (1)" xfId="205" xr:uid="{00000000-0005-0000-0000-000072000000}"/>
    <cellStyle name="Millares 3" xfId="43" xr:uid="{00000000-0005-0000-0000-000073000000}"/>
    <cellStyle name="Millares 3 2" xfId="44" xr:uid="{00000000-0005-0000-0000-000074000000}"/>
    <cellStyle name="Millares 3 2 2" xfId="269" xr:uid="{3141066D-540E-440E-9DC4-3555E2024C7E}"/>
    <cellStyle name="Millares 3 3" xfId="45" xr:uid="{00000000-0005-0000-0000-000075000000}"/>
    <cellStyle name="Millares 3 3 2" xfId="270" xr:uid="{3706DC79-95B9-4800-AB20-B6D7708735B2}"/>
    <cellStyle name="Millares 3 4" xfId="46" xr:uid="{00000000-0005-0000-0000-000076000000}"/>
    <cellStyle name="Millares 3 4 2" xfId="271" xr:uid="{AAFC84B2-CB11-4384-9317-A410DBA75A65}"/>
    <cellStyle name="Millares 3 5" xfId="47" xr:uid="{00000000-0005-0000-0000-000077000000}"/>
    <cellStyle name="Millares 3 5 2" xfId="272" xr:uid="{2DCE0A79-9485-462F-B69F-4542EC24DD09}"/>
    <cellStyle name="Millares 3 6" xfId="268" xr:uid="{7313E725-BF1C-4FBF-BE5E-88048B75F05A}"/>
    <cellStyle name="Millares 4" xfId="48" xr:uid="{00000000-0005-0000-0000-000078000000}"/>
    <cellStyle name="Millares 4 2" xfId="49" xr:uid="{00000000-0005-0000-0000-000079000000}"/>
    <cellStyle name="Millares 4 2 2" xfId="274" xr:uid="{EB28838F-74D3-4F4E-BD86-837240B8EB09}"/>
    <cellStyle name="Millares 4 3" xfId="206" xr:uid="{00000000-0005-0000-0000-00007A000000}"/>
    <cellStyle name="Millares 4 3 2" xfId="336" xr:uid="{5B420C47-A245-448E-B817-84DBDC46DBE7}"/>
    <cellStyle name="Millares 4 4" xfId="273" xr:uid="{2329BE6D-6E32-4F6B-A9EF-CDC0928B9029}"/>
    <cellStyle name="Millares 4_APU´S_NO_PREVISTOS (1)" xfId="207" xr:uid="{00000000-0005-0000-0000-00007B000000}"/>
    <cellStyle name="Millares 5" xfId="50" xr:uid="{00000000-0005-0000-0000-00007C000000}"/>
    <cellStyle name="Millares 5 2" xfId="208" xr:uid="{00000000-0005-0000-0000-00007D000000}"/>
    <cellStyle name="Millares 5 2 2" xfId="337" xr:uid="{AEB7551B-0589-46B8-BF9D-B352F7536000}"/>
    <cellStyle name="Millares 5 3" xfId="275" xr:uid="{B090B6AF-ECE1-4CCF-84A6-19B4787C2A58}"/>
    <cellStyle name="Millares 6" xfId="51" xr:uid="{00000000-0005-0000-0000-00007E000000}"/>
    <cellStyle name="Millares 6 2" xfId="52" xr:uid="{00000000-0005-0000-0000-00007F000000}"/>
    <cellStyle name="Millares 6 2 2" xfId="277" xr:uid="{E404189D-AF64-4814-917C-F5A8896A1AB5}"/>
    <cellStyle name="Millares 6 3" xfId="276" xr:uid="{9263BDE5-E74C-475C-BDD1-03DC431A095C}"/>
    <cellStyle name="Millares 7" xfId="53" xr:uid="{00000000-0005-0000-0000-000080000000}"/>
    <cellStyle name="Millares 7 2" xfId="54" xr:uid="{00000000-0005-0000-0000-000081000000}"/>
    <cellStyle name="Millares 7 2 2" xfId="55" xr:uid="{00000000-0005-0000-0000-000082000000}"/>
    <cellStyle name="Millares 7 2 2 2" xfId="280" xr:uid="{353B6CDC-A6F4-43E0-A468-AA042F1E4DF9}"/>
    <cellStyle name="Millares 7 2 3" xfId="279" xr:uid="{1C676B7D-696C-465D-91A3-F920CB395D33}"/>
    <cellStyle name="Millares 7 3" xfId="278" xr:uid="{A2116801-1655-4F16-8099-64E8EAAAA541}"/>
    <cellStyle name="Millares 8" xfId="56" xr:uid="{00000000-0005-0000-0000-000083000000}"/>
    <cellStyle name="Millares 8 2" xfId="57" xr:uid="{00000000-0005-0000-0000-000084000000}"/>
    <cellStyle name="Millares 8 2 2" xfId="282" xr:uid="{227DC453-8947-434C-9594-B73FEF9F7D11}"/>
    <cellStyle name="Millares 8 3" xfId="281" xr:uid="{982FE356-E929-4C2E-895C-4497504F156B}"/>
    <cellStyle name="Millares 9" xfId="58" xr:uid="{00000000-0005-0000-0000-000085000000}"/>
    <cellStyle name="Millares 9 2" xfId="59" xr:uid="{00000000-0005-0000-0000-000086000000}"/>
    <cellStyle name="Millares 9 2 2" xfId="284" xr:uid="{6CB67302-F4DA-4FC9-8545-B54590A4D024}"/>
    <cellStyle name="Millares 9 3" xfId="283" xr:uid="{9BF05541-0AF5-428A-B3C1-CA2859073E1D}"/>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6"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85" xr:uid="{6455656D-808F-42C9-82AD-8D5C02142013}"/>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86" xr:uid="{23B21A0A-1F2A-4EE7-BC8F-D2672289E94D}"/>
    <cellStyle name="Moneda 2 2 3" xfId="66" xr:uid="{00000000-0005-0000-0000-000094000000}"/>
    <cellStyle name="Moneda 2 2 3 2" xfId="287" xr:uid="{7E65F28C-0A3B-4590-B541-35B47B061D0C}"/>
    <cellStyle name="Moneda 2 2 4" xfId="67" xr:uid="{00000000-0005-0000-0000-000095000000}"/>
    <cellStyle name="Moneda 2 2 4 2" xfId="288" xr:uid="{02F87E12-87D5-4C25-8A60-FC6BC1A46CF7}"/>
    <cellStyle name="Moneda 2 2 5" xfId="68" xr:uid="{00000000-0005-0000-0000-000096000000}"/>
    <cellStyle name="Moneda 2 2 5 2" xfId="289" xr:uid="{2767EFA9-604E-45F4-B9EE-4A54BAE4D7E8}"/>
    <cellStyle name="Moneda 2 2_APU´S_NO_PREVISTOS (1)" xfId="215" xr:uid="{00000000-0005-0000-0000-000097000000}"/>
    <cellStyle name="Moneda 2 3" xfId="69" xr:uid="{00000000-0005-0000-0000-000098000000}"/>
    <cellStyle name="Moneda 2 3 2" xfId="290" xr:uid="{C70268A6-3250-490C-8039-1B8C39894367}"/>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91" xr:uid="{EA85D739-500D-45C3-BE6B-2696EA51794B}"/>
    <cellStyle name="Moneda 4" xfId="223" xr:uid="{00000000-0005-0000-0000-0000A1000000}"/>
    <cellStyle name="Moneda 5" xfId="341" xr:uid="{C91D25D3-47CA-4875-9FD0-0E99E1067E99}"/>
    <cellStyle name="Moneda 6" xfId="342" xr:uid="{17EE124C-9BC0-45D4-91F7-CA84D2D5F448}"/>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2F6AA66E-36C2-48F5-BE21-6FB636AEB0E2}"/>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292" xr:uid="{29750E58-1A24-494F-A9FC-A97B3C13B30E}"/>
    <cellStyle name="Normal 2 12" xfId="77" xr:uid="{00000000-0005-0000-0000-0000AF000000}"/>
    <cellStyle name="Normal 2 12 2" xfId="293" xr:uid="{7F97ECE4-C992-4FF8-9C42-8480D79F76CE}"/>
    <cellStyle name="Normal 2 13" xfId="78" xr:uid="{00000000-0005-0000-0000-0000B0000000}"/>
    <cellStyle name="Normal 2 13 2" xfId="294" xr:uid="{1F1954DD-40C7-4BFE-B886-02C0DB87936C}"/>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95" xr:uid="{54914FF3-F904-410C-AF36-3877EBD1A934}"/>
    <cellStyle name="Normal 2 4" xfId="81" xr:uid="{00000000-0005-0000-0000-0000B6000000}"/>
    <cellStyle name="Normal 2 4 2" xfId="296" xr:uid="{C7AF46E1-FC34-43FF-8C03-8B272F4B7E28}"/>
    <cellStyle name="Normal 2 5" xfId="82" xr:uid="{00000000-0005-0000-0000-0000B7000000}"/>
    <cellStyle name="Normal 2 5 2" xfId="297" xr:uid="{28156F61-9818-43BF-8BA0-D501913D288F}"/>
    <cellStyle name="Normal 2 6" xfId="83" xr:uid="{00000000-0005-0000-0000-0000B8000000}"/>
    <cellStyle name="Normal 2 6 2" xfId="298" xr:uid="{ECD963C4-CEB4-467A-98F0-50F39539156D}"/>
    <cellStyle name="Normal 2 7" xfId="84" xr:uid="{00000000-0005-0000-0000-0000B9000000}"/>
    <cellStyle name="Normal 2 7 2" xfId="299" xr:uid="{FF9D7D99-B03C-4103-B528-73E60D4DF880}"/>
    <cellStyle name="Normal 2 8" xfId="85" xr:uid="{00000000-0005-0000-0000-0000BA000000}"/>
    <cellStyle name="Normal 2 8 2" xfId="300" xr:uid="{13794290-2B1C-4D8A-B673-2845EFC2C455}"/>
    <cellStyle name="Normal 2 9" xfId="86" xr:uid="{00000000-0005-0000-0000-0000BB000000}"/>
    <cellStyle name="Normal 2 9 2" xfId="301" xr:uid="{8CAFC07B-1865-489D-9F37-3C49848BC954}"/>
    <cellStyle name="Normal 2_APU NO PREVISTOS MTTO" xfId="87" xr:uid="{00000000-0005-0000-0000-0000BC000000}"/>
    <cellStyle name="Normal 29" xfId="88" xr:uid="{00000000-0005-0000-0000-0000BD000000}"/>
    <cellStyle name="Normal 29 2" xfId="302" xr:uid="{85E9462E-51EF-460A-B418-D006058CA5C3}"/>
    <cellStyle name="Normal 3" xfId="89" xr:uid="{00000000-0005-0000-0000-0000BE000000}"/>
    <cellStyle name="Normal 3 11" xfId="130" xr:uid="{00000000-0005-0000-0000-0000BF000000}"/>
    <cellStyle name="Normal 3 11 2" xfId="330" xr:uid="{67F4DC1C-CBF0-48E4-A79E-419AC970EABB}"/>
    <cellStyle name="Normal 3 2" xfId="90" xr:uid="{00000000-0005-0000-0000-0000C0000000}"/>
    <cellStyle name="Normal 3 2 2" xfId="128" xr:uid="{00000000-0005-0000-0000-0000C1000000}"/>
    <cellStyle name="Normal 3 3" xfId="231" xr:uid="{00000000-0005-0000-0000-0000C2000000}"/>
    <cellStyle name="Normal 3 3 2" xfId="338" xr:uid="{F26244AB-699D-4B85-9850-8C40690DA36B}"/>
    <cellStyle name="Normal 3 4" xfId="303" xr:uid="{F26D8114-CF34-4C78-8046-2B1593426277}"/>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331" xr:uid="{6F6AC2D5-745A-4FC9-B99F-249FD4B53D62}"/>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2 2" xfId="304" xr:uid="{6360810B-A084-45EB-8F27-17AA6A8E352E}"/>
    <cellStyle name="Notas 3" xfId="239" xr:uid="{00000000-0005-0000-0000-0000D1000000}"/>
    <cellStyle name="Notas 3 2" xfId="339" xr:uid="{D54567F5-E7B6-4F80-81C4-A337644F5DC5}"/>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307" xr:uid="{00701FC1-A626-4935-B7EB-F6B0DE386490}"/>
    <cellStyle name="Porcentual 2 10 3" xfId="306" xr:uid="{FEC3324A-810B-4248-AE32-2D402C821F8B}"/>
    <cellStyle name="Porcentual 2 11" xfId="99" xr:uid="{00000000-0005-0000-0000-0000DC000000}"/>
    <cellStyle name="Porcentual 2 11 2" xfId="308" xr:uid="{DB5E2A20-F768-4FA4-B173-92F203AC1E98}"/>
    <cellStyle name="Porcentual 2 12" xfId="100" xr:uid="{00000000-0005-0000-0000-0000DD000000}"/>
    <cellStyle name="Porcentual 2 12 2" xfId="309" xr:uid="{247CBBB8-B1D6-459A-AB58-8E7AAC3D53B7}"/>
    <cellStyle name="Porcentual 2 13" xfId="305" xr:uid="{38E6363C-713C-4D78-AFB3-B956ED904D27}"/>
    <cellStyle name="Porcentual 2 2" xfId="101" xr:uid="{00000000-0005-0000-0000-0000DE000000}"/>
    <cellStyle name="Porcentual 2 2 2" xfId="310" xr:uid="{CFEA321C-E088-4324-8A67-609D1295423A}"/>
    <cellStyle name="Porcentual 2 3" xfId="102" xr:uid="{00000000-0005-0000-0000-0000DF000000}"/>
    <cellStyle name="Porcentual 2 3 2" xfId="311" xr:uid="{7D2D6B99-B19E-4443-A30E-96E189CC8145}"/>
    <cellStyle name="Porcentual 2 4" xfId="103" xr:uid="{00000000-0005-0000-0000-0000E0000000}"/>
    <cellStyle name="Porcentual 2 4 2" xfId="312" xr:uid="{B27AF45E-FD66-4D26-A7E4-0CE52556E8A8}"/>
    <cellStyle name="Porcentual 2 5" xfId="104" xr:uid="{00000000-0005-0000-0000-0000E1000000}"/>
    <cellStyle name="Porcentual 2 5 2" xfId="313" xr:uid="{A162A539-6C3C-4846-8199-D4A6C54557BC}"/>
    <cellStyle name="Porcentual 2 6" xfId="105" xr:uid="{00000000-0005-0000-0000-0000E2000000}"/>
    <cellStyle name="Porcentual 2 6 2" xfId="314" xr:uid="{95587253-0432-4FF8-8A4D-BA67E8ABB694}"/>
    <cellStyle name="Porcentual 2 7" xfId="106" xr:uid="{00000000-0005-0000-0000-0000E3000000}"/>
    <cellStyle name="Porcentual 2 7 2" xfId="315" xr:uid="{DECFE338-3071-4384-A7CA-072887BFFC5C}"/>
    <cellStyle name="Porcentual 2 8" xfId="107" xr:uid="{00000000-0005-0000-0000-0000E4000000}"/>
    <cellStyle name="Porcentual 2 8 2" xfId="316" xr:uid="{9E252F71-1892-48E9-B69C-0512E45C6F95}"/>
    <cellStyle name="Porcentual 2 9" xfId="108" xr:uid="{00000000-0005-0000-0000-0000E5000000}"/>
    <cellStyle name="Porcentual 2 9 2" xfId="317" xr:uid="{8514DEB9-AA13-4D33-8495-1E918C41194C}"/>
    <cellStyle name="Porcentual 3" xfId="109" xr:uid="{00000000-0005-0000-0000-0000E6000000}"/>
    <cellStyle name="Porcentual 3 2" xfId="318" xr:uid="{5DE758CE-E24A-4595-AD3E-8B15448982A6}"/>
    <cellStyle name="Porcentual 4" xfId="110" xr:uid="{00000000-0005-0000-0000-0000E7000000}"/>
    <cellStyle name="Porcentual 4 2" xfId="111" xr:uid="{00000000-0005-0000-0000-0000E8000000}"/>
    <cellStyle name="Porcentual 4 2 2" xfId="320" xr:uid="{85A6F632-3392-4EB5-946F-9D4914D39F74}"/>
    <cellStyle name="Porcentual 4 3" xfId="319" xr:uid="{AD4B47CF-8541-4B53-9794-FB126891D698}"/>
    <cellStyle name="Porcentual 5" xfId="112" xr:uid="{00000000-0005-0000-0000-0000E9000000}"/>
    <cellStyle name="Porcentual 5 2" xfId="245" xr:uid="{00000000-0005-0000-0000-0000EA000000}"/>
    <cellStyle name="Porcentual 5 3" xfId="321" xr:uid="{E2332AC2-20F9-4DCC-8EEB-CA8DBB9D40D2}"/>
    <cellStyle name="Porcentual 6" xfId="113" xr:uid="{00000000-0005-0000-0000-0000EB000000}"/>
    <cellStyle name="Porcentual 6 2" xfId="114" xr:uid="{00000000-0005-0000-0000-0000EC000000}"/>
    <cellStyle name="Porcentual 6 2 2" xfId="323" xr:uid="{6F1C4802-CFB4-4439-9659-E5ED1A991133}"/>
    <cellStyle name="Porcentual 6 3" xfId="322" xr:uid="{10474C59-47D7-4958-9015-672FF565AA9B}"/>
    <cellStyle name="Porcentual 7" xfId="115" xr:uid="{00000000-0005-0000-0000-0000ED000000}"/>
    <cellStyle name="Porcentual 7 2" xfId="324" xr:uid="{0152BA5E-0FDB-4A6C-A5EE-DA019B25FE77}"/>
    <cellStyle name="Porcentual 8" xfId="127" xr:uid="{00000000-0005-0000-0000-0000EE000000}"/>
    <cellStyle name="Porcentual 8 2" xfId="329" xr:uid="{B88BC042-FD32-4078-9DC5-A7119D802BA4}"/>
    <cellStyle name="resaltado" xfId="246" xr:uid="{00000000-0005-0000-0000-0000EF000000}"/>
    <cellStyle name="Salida 2" xfId="116" xr:uid="{00000000-0005-0000-0000-0000F0000000}"/>
    <cellStyle name="Salida 2 2" xfId="325" xr:uid="{A122DA10-9B15-402D-AA37-2FEA31E8943A}"/>
    <cellStyle name="Salida 3" xfId="247" xr:uid="{00000000-0005-0000-0000-0000F1000000}"/>
    <cellStyle name="Salida 3 2" xfId="340" xr:uid="{360DB8B6-899D-4DCD-A967-C8721917B52A}"/>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2 2" xfId="327" xr:uid="{43E379E6-9A97-4103-9C26-8DCB84239869}"/>
    <cellStyle name="Total 3" xfId="254" xr:uid="{00000000-0005-0000-0000-000000010000}"/>
    <cellStyle name="Total 4" xfId="326" xr:uid="{04618212-16AB-460B-8468-D1A70E63022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microsoft.com/office/2007/relationships/hdphoto" Target="../media/hdphoto2.wdp"/><Relationship Id="rId2" Type="http://schemas.openxmlformats.org/officeDocument/2006/relationships/image" Target="../media/image3.jpeg"/><Relationship Id="rId1" Type="http://schemas.openxmlformats.org/officeDocument/2006/relationships/image" Target="../media/image2.png"/><Relationship Id="rId6" Type="http://schemas.openxmlformats.org/officeDocument/2006/relationships/image" Target="../media/image6.png"/><Relationship Id="rId5" Type="http://schemas.microsoft.com/office/2007/relationships/hdphoto" Target="../media/hdphoto1.wdp"/><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215089</xdr:colOff>
      <xdr:row>2722</xdr:row>
      <xdr:rowOff>92110</xdr:rowOff>
    </xdr:from>
    <xdr:to>
      <xdr:col>2</xdr:col>
      <xdr:colOff>247002</xdr:colOff>
      <xdr:row>2724</xdr:row>
      <xdr:rowOff>285501</xdr:rowOff>
    </xdr:to>
    <xdr:pic>
      <xdr:nvPicPr>
        <xdr:cNvPr id="2" name="Imagen 1">
          <a:extLst>
            <a:ext uri="{FF2B5EF4-FFF2-40B4-BE49-F238E27FC236}">
              <a16:creationId xmlns:a16="http://schemas.microsoft.com/office/drawing/2014/main" id="{781EEDCC-9030-421F-A86A-EF9830A2CF06}"/>
            </a:ext>
          </a:extLst>
        </xdr:cNvPr>
        <xdr:cNvPicPr>
          <a:picLocks noChangeAspect="1"/>
        </xdr:cNvPicPr>
      </xdr:nvPicPr>
      <xdr:blipFill rotWithShape="1">
        <a:blip xmlns:r="http://schemas.openxmlformats.org/officeDocument/2006/relationships" r:embed="rId1"/>
        <a:srcRect l="8385" r="2101"/>
        <a:stretch/>
      </xdr:blipFill>
      <xdr:spPr>
        <a:xfrm>
          <a:off x="600276" y="586312945"/>
          <a:ext cx="2858786" cy="751766"/>
        </a:xfrm>
        <a:prstGeom prst="rect">
          <a:avLst/>
        </a:prstGeom>
      </xdr:spPr>
    </xdr:pic>
    <xdr:clientData/>
  </xdr:twoCellAnchor>
  <xdr:twoCellAnchor editAs="oneCell">
    <xdr:from>
      <xdr:col>1</xdr:col>
      <xdr:colOff>80682</xdr:colOff>
      <xdr:row>3</xdr:row>
      <xdr:rowOff>80683</xdr:rowOff>
    </xdr:from>
    <xdr:to>
      <xdr:col>2</xdr:col>
      <xdr:colOff>133411</xdr:colOff>
      <xdr:row>5</xdr:row>
      <xdr:rowOff>205891</xdr:rowOff>
    </xdr:to>
    <xdr:pic>
      <xdr:nvPicPr>
        <xdr:cNvPr id="4" name="Imagen 3">
          <a:extLst>
            <a:ext uri="{FF2B5EF4-FFF2-40B4-BE49-F238E27FC236}">
              <a16:creationId xmlns:a16="http://schemas.microsoft.com/office/drawing/2014/main" id="{F42D054F-DC29-473C-8784-128FC240E65B}"/>
            </a:ext>
          </a:extLst>
        </xdr:cNvPr>
        <xdr:cNvPicPr>
          <a:picLocks noChangeAspect="1"/>
        </xdr:cNvPicPr>
      </xdr:nvPicPr>
      <xdr:blipFill rotWithShape="1">
        <a:blip xmlns:r="http://schemas.openxmlformats.org/officeDocument/2006/relationships" r:embed="rId1"/>
        <a:srcRect l="8385" r="2101"/>
        <a:stretch/>
      </xdr:blipFill>
      <xdr:spPr>
        <a:xfrm>
          <a:off x="583602" y="80683"/>
          <a:ext cx="2873860" cy="6705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xdr:colOff>
      <xdr:row>6</xdr:row>
      <xdr:rowOff>25400</xdr:rowOff>
    </xdr:from>
    <xdr:to>
      <xdr:col>6</xdr:col>
      <xdr:colOff>869164</xdr:colOff>
      <xdr:row>10</xdr:row>
      <xdr:rowOff>26296</xdr:rowOff>
    </xdr:to>
    <xdr:pic>
      <xdr:nvPicPr>
        <xdr:cNvPr id="2" name="Imagen 1" descr="Inicio | Alcaldía Mayor de Cartagena de Indias">
          <a:extLst>
            <a:ext uri="{FF2B5EF4-FFF2-40B4-BE49-F238E27FC236}">
              <a16:creationId xmlns:a16="http://schemas.microsoft.com/office/drawing/2014/main" id="{82961111-3F19-479B-B3CE-4F2A19F2B5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240" y="947420"/>
          <a:ext cx="2426184" cy="793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1192481</xdr:colOff>
      <xdr:row>5</xdr:row>
      <xdr:rowOff>262245</xdr:rowOff>
    </xdr:from>
    <xdr:to>
      <xdr:col>6</xdr:col>
      <xdr:colOff>2758664</xdr:colOff>
      <xdr:row>10</xdr:row>
      <xdr:rowOff>135452</xdr:rowOff>
    </xdr:to>
    <xdr:pic>
      <xdr:nvPicPr>
        <xdr:cNvPr id="3" name="Image 2">
          <a:extLst>
            <a:ext uri="{FF2B5EF4-FFF2-40B4-BE49-F238E27FC236}">
              <a16:creationId xmlns:a16="http://schemas.microsoft.com/office/drawing/2014/main" id="{EBA94A1F-3155-4E66-B038-389F066BC66D}"/>
            </a:ext>
          </a:extLst>
        </xdr:cNvPr>
        <xdr:cNvPicPr>
          <a:picLocks/>
        </xdr:cNvPicPr>
      </xdr:nvPicPr>
      <xdr:blipFill>
        <a:blip xmlns:r="http://schemas.openxmlformats.org/officeDocument/2006/relationships" r:embed="rId2" cstate="print"/>
        <a:stretch>
          <a:fillRect/>
        </a:stretch>
      </xdr:blipFill>
      <xdr:spPr>
        <a:xfrm>
          <a:off x="3562301" y="856605"/>
          <a:ext cx="1566183" cy="924767"/>
        </a:xfrm>
        <a:prstGeom prst="rect">
          <a:avLst/>
        </a:prstGeom>
      </xdr:spPr>
    </xdr:pic>
    <xdr:clientData/>
  </xdr:twoCellAnchor>
  <xdr:twoCellAnchor editAs="oneCell">
    <xdr:from>
      <xdr:col>6</xdr:col>
      <xdr:colOff>3282538</xdr:colOff>
      <xdr:row>5</xdr:row>
      <xdr:rowOff>190995</xdr:rowOff>
    </xdr:from>
    <xdr:to>
      <xdr:col>6</xdr:col>
      <xdr:colOff>4722421</xdr:colOff>
      <xdr:row>10</xdr:row>
      <xdr:rowOff>311529</xdr:rowOff>
    </xdr:to>
    <xdr:pic>
      <xdr:nvPicPr>
        <xdr:cNvPr id="4" name="Imagen 3">
          <a:extLst>
            <a:ext uri="{FF2B5EF4-FFF2-40B4-BE49-F238E27FC236}">
              <a16:creationId xmlns:a16="http://schemas.microsoft.com/office/drawing/2014/main" id="{DDB17C26-A325-4A2F-937F-431A44454B8F}"/>
            </a:ext>
          </a:extLst>
        </xdr:cNvPr>
        <xdr:cNvPicPr>
          <a:picLocks noChangeAspect="1"/>
        </xdr:cNvPicPr>
      </xdr:nvPicPr>
      <xdr:blipFill>
        <a:blip xmlns:r="http://schemas.openxmlformats.org/officeDocument/2006/relationships" r:embed="rId3"/>
        <a:stretch>
          <a:fillRect/>
        </a:stretch>
      </xdr:blipFill>
      <xdr:spPr>
        <a:xfrm>
          <a:off x="5652358" y="785355"/>
          <a:ext cx="1439883" cy="1111134"/>
        </a:xfrm>
        <a:prstGeom prst="rect">
          <a:avLst/>
        </a:prstGeom>
      </xdr:spPr>
    </xdr:pic>
    <xdr:clientData/>
  </xdr:twoCellAnchor>
  <xdr:twoCellAnchor editAs="oneCell">
    <xdr:from>
      <xdr:col>9</xdr:col>
      <xdr:colOff>16213</xdr:colOff>
      <xdr:row>769</xdr:row>
      <xdr:rowOff>81064</xdr:rowOff>
    </xdr:from>
    <xdr:to>
      <xdr:col>10</xdr:col>
      <xdr:colOff>1852724</xdr:colOff>
      <xdr:row>773</xdr:row>
      <xdr:rowOff>113061</xdr:rowOff>
    </xdr:to>
    <xdr:pic>
      <xdr:nvPicPr>
        <xdr:cNvPr id="6" name="Imagen 5">
          <a:extLst>
            <a:ext uri="{FF2B5EF4-FFF2-40B4-BE49-F238E27FC236}">
              <a16:creationId xmlns:a16="http://schemas.microsoft.com/office/drawing/2014/main" id="{A4AB2518-451F-40D4-B706-23D8B53A0DBC}"/>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backgroundRemoval t="9787" b="94894" l="9483" r="89871">
                      <a14:foregroundMark x1="22344" y1="43673" x2="20469" y2="71451"/>
                      <a14:foregroundMark x1="20469" y1="71451" x2="20469" y2="71451"/>
                      <a14:foregroundMark x1="19609" y1="73148" x2="16406" y2="91049"/>
                      <a14:foregroundMark x1="9609" y1="86111" x2="14688" y2="61574"/>
                      <a14:foregroundMark x1="14688" y1="61574" x2="17422" y2="57099"/>
                      <a14:foregroundMark x1="29063" y1="21759" x2="24922" y2="51852"/>
                      <a14:foregroundMark x1="24922" y1="51852" x2="27813" y2="47377"/>
                      <a14:foregroundMark x1="35625" y1="46914" x2="33828" y2="48920"/>
                      <a14:foregroundMark x1="43281" y1="44753" x2="43281" y2="44753"/>
                      <a14:foregroundMark x1="56328" y1="38735" x2="56328" y2="38735"/>
                      <a14:foregroundMark x1="60469" y1="37809" x2="60469" y2="37809"/>
                      <a14:foregroundMark x1="42578" y1="35185" x2="46797" y2="45988"/>
                      <a14:foregroundMark x1="77500" y1="27469" x2="76641" y2="23611"/>
                      <a14:foregroundMark x1="75859" y1="20988" x2="70000" y2="32870"/>
                      <a14:foregroundMark x1="77500" y1="30710" x2="74766" y2="39815"/>
                      <a14:foregroundMark x1="77891" y1="27623" x2="75547" y2="38426"/>
                      <a14:foregroundMark x1="58836" y1="28511" x2="56897" y2="36596"/>
                      <a14:foregroundMark x1="59267" y1="27234" x2="56681" y2="40000"/>
                      <a14:foregroundMark x1="56681" y1="40000" x2="58405" y2="44255"/>
                      <a14:foregroundMark x1="63147" y1="37021" x2="63793" y2="41277"/>
                      <a14:foregroundMark x1="74353" y1="20426" x2="70474" y2="29362"/>
                      <a14:foregroundMark x1="70474" y1="29362" x2="71767" y2="40851"/>
                      <a14:foregroundMark x1="71767" y1="40851" x2="76724" y2="35319"/>
                      <a14:foregroundMark x1="76724" y1="35319" x2="76724" y2="23830"/>
                      <a14:foregroundMark x1="76724" y1="23830" x2="70474" y2="30213"/>
                      <a14:foregroundMark x1="70474" y1="30213" x2="74569" y2="20851"/>
                      <a14:foregroundMark x1="74569" y1="20851" x2="76940" y2="32340"/>
                      <a14:foregroundMark x1="76940" y1="32340" x2="72845" y2="40000"/>
                      <a14:foregroundMark x1="72845" y1="40000" x2="72198" y2="24255"/>
                      <a14:foregroundMark x1="72198" y1="24255" x2="77802" y2="24255"/>
                      <a14:foregroundMark x1="77802" y1="24255" x2="76509" y2="37447"/>
                      <a14:foregroundMark x1="76509" y1="37447" x2="70474" y2="29787"/>
                      <a14:foregroundMark x1="70474" y1="29787" x2="72414" y2="25106"/>
                      <a14:foregroundMark x1="45474" y1="34894" x2="45043" y2="40426"/>
                      <a14:foregroundMark x1="47629" y1="45532" x2="49569" y2="45957"/>
                      <a14:foregroundMark x1="47414" y1="47660" x2="45474" y2="47660"/>
                      <a14:foregroundMark x1="28448" y1="45106" x2="27155" y2="50213"/>
                      <a14:foregroundMark x1="71767" y1="23830" x2="78017" y2="26809"/>
                      <a14:foregroundMark x1="78017" y1="26809" x2="75647" y2="39574"/>
                      <a14:foregroundMark x1="75647" y1="39574" x2="71121" y2="30213"/>
                      <a14:foregroundMark x1="71121" y1="30213" x2="72629" y2="26383"/>
                      <a14:foregroundMark x1="28233" y1="44681" x2="25216" y2="53617"/>
                      <a14:foregroundMark x1="25216" y1="54468" x2="28233" y2="45532"/>
                      <a14:foregroundMark x1="27371" y1="48511" x2="27371" y2="48511"/>
                      <a14:foregroundMark x1="23060" y1="41702" x2="22629" y2="44255"/>
                      <a14:foregroundMark x1="19612" y1="54043" x2="18103" y2="55745"/>
                      <a14:foregroundMark x1="11638" y1="89362" x2="16379" y2="92766"/>
                      <a14:foregroundMark x1="16379" y1="92766" x2="13578" y2="94894"/>
                      <a14:foregroundMark x1="30603" y1="45532" x2="33190" y2="49787"/>
                      <a14:foregroundMark x1="31466" y1="44681" x2="30388" y2="45106"/>
                      <a14:foregroundMark x1="74569" y1="20851" x2="73276" y2="22553"/>
                    </a14:backgroundRemoval>
                  </a14:imgEffect>
                  <a14:imgEffect>
                    <a14:artisticCement/>
                  </a14:imgEffect>
                  <a14:imgEffect>
                    <a14:colorTemperature colorTemp="4700"/>
                  </a14:imgEffect>
                </a14:imgLayer>
              </a14:imgProps>
            </a:ext>
            <a:ext uri="{28A0092B-C50C-407E-A947-70E740481C1C}">
              <a14:useLocalDpi xmlns:a14="http://schemas.microsoft.com/office/drawing/2010/main" val="0"/>
            </a:ext>
          </a:extLst>
        </a:blip>
        <a:srcRect/>
        <a:stretch>
          <a:fillRect/>
        </a:stretch>
      </xdr:blipFill>
      <xdr:spPr bwMode="auto">
        <a:xfrm rot="506345">
          <a:off x="9857362" y="363538851"/>
          <a:ext cx="3441575" cy="1750550"/>
        </a:xfrm>
        <a:prstGeom prst="rect">
          <a:avLst/>
        </a:prstGeom>
        <a:noFill/>
        <a:ln>
          <a:noFill/>
        </a:ln>
      </xdr:spPr>
    </xdr:pic>
    <xdr:clientData/>
  </xdr:twoCellAnchor>
  <xdr:twoCellAnchor editAs="oneCell">
    <xdr:from>
      <xdr:col>6</xdr:col>
      <xdr:colOff>1199745</xdr:colOff>
      <xdr:row>769</xdr:row>
      <xdr:rowOff>162128</xdr:rowOff>
    </xdr:from>
    <xdr:to>
      <xdr:col>6</xdr:col>
      <xdr:colOff>4280401</xdr:colOff>
      <xdr:row>772</xdr:row>
      <xdr:rowOff>72851</xdr:rowOff>
    </xdr:to>
    <xdr:pic>
      <xdr:nvPicPr>
        <xdr:cNvPr id="8" name="Imagen 7">
          <a:extLst>
            <a:ext uri="{FF2B5EF4-FFF2-40B4-BE49-F238E27FC236}">
              <a16:creationId xmlns:a16="http://schemas.microsoft.com/office/drawing/2014/main" id="{808CC618-6F7D-48C5-AF63-70CDEC22197F}"/>
            </a:ext>
          </a:extLst>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3274979" y="363619915"/>
          <a:ext cx="3080656" cy="1240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7.5mm@0,15" TargetMode="External"/><Relationship Id="rId13" Type="http://schemas.openxmlformats.org/officeDocument/2006/relationships/hyperlink" Target="mailto:7.5mm@0,15" TargetMode="External"/><Relationship Id="rId18" Type="http://schemas.openxmlformats.org/officeDocument/2006/relationships/drawing" Target="../drawings/drawing1.xml"/><Relationship Id="rId3" Type="http://schemas.openxmlformats.org/officeDocument/2006/relationships/hyperlink" Target="about:blank" TargetMode="External"/><Relationship Id="rId7" Type="http://schemas.openxmlformats.org/officeDocument/2006/relationships/hyperlink" Target="mailto:4mm@0,15" TargetMode="External"/><Relationship Id="rId12" Type="http://schemas.openxmlformats.org/officeDocument/2006/relationships/hyperlink" Target="mailto:7.5mm@0,15" TargetMode="External"/><Relationship Id="rId17" Type="http://schemas.openxmlformats.org/officeDocument/2006/relationships/printerSettings" Target="../printerSettings/printerSettings1.bin"/><Relationship Id="rId2" Type="http://schemas.openxmlformats.org/officeDocument/2006/relationships/hyperlink" Target="about:blank" TargetMode="External"/><Relationship Id="rId16" Type="http://schemas.openxmlformats.org/officeDocument/2006/relationships/hyperlink" Target="mailto:7.5mm@0,15" TargetMode="External"/><Relationship Id="rId1" Type="http://schemas.openxmlformats.org/officeDocument/2006/relationships/hyperlink" Target="about:blank" TargetMode="External"/><Relationship Id="rId6" Type="http://schemas.openxmlformats.org/officeDocument/2006/relationships/hyperlink" Target="mailto:4mm@0,15" TargetMode="External"/><Relationship Id="rId11" Type="http://schemas.openxmlformats.org/officeDocument/2006/relationships/hyperlink" Target="mailto:7.5mm@0,15" TargetMode="External"/><Relationship Id="rId5" Type="http://schemas.openxmlformats.org/officeDocument/2006/relationships/hyperlink" Target="mailto:4mm@0,15" TargetMode="External"/><Relationship Id="rId15" Type="http://schemas.openxmlformats.org/officeDocument/2006/relationships/hyperlink" Target="mailto:7.5mm@0,15" TargetMode="External"/><Relationship Id="rId10" Type="http://schemas.openxmlformats.org/officeDocument/2006/relationships/hyperlink" Target="mailto:7.5mm@0,15" TargetMode="External"/><Relationship Id="rId4" Type="http://schemas.openxmlformats.org/officeDocument/2006/relationships/hyperlink" Target="about:blank" TargetMode="External"/><Relationship Id="rId9" Type="http://schemas.openxmlformats.org/officeDocument/2006/relationships/hyperlink" Target="mailto:7.5mm@0,15" TargetMode="External"/><Relationship Id="rId14" Type="http://schemas.openxmlformats.org/officeDocument/2006/relationships/hyperlink" Target="mailto:7.5mm@0,15"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D18B3-C69F-4135-AAF9-6BBDB0D1D4F2}">
  <dimension ref="A3:O5339"/>
  <sheetViews>
    <sheetView topLeftCell="B1034" workbookViewId="0">
      <selection activeCell="L1033" sqref="L1033"/>
    </sheetView>
  </sheetViews>
  <sheetFormatPr baseColWidth="10" defaultColWidth="10.7109375" defaultRowHeight="12.75" outlineLevelRow="1"/>
  <cols>
    <col min="1" max="1" width="5.7109375" customWidth="1"/>
    <col min="2" max="2" width="41" bestFit="1" customWidth="1"/>
    <col min="3" max="3" width="21.7109375" customWidth="1"/>
    <col min="5" max="5" width="10.7109375" customWidth="1"/>
    <col min="8" max="8" width="11.42578125" customWidth="1"/>
    <col min="9" max="9" width="11" customWidth="1"/>
    <col min="10" max="10" width="12.85546875" customWidth="1"/>
    <col min="11" max="11" width="16.140625" customWidth="1"/>
    <col min="12" max="12" width="22.28515625" customWidth="1"/>
    <col min="13" max="13" width="14.28515625" bestFit="1" customWidth="1"/>
    <col min="14" max="14" width="15.7109375" bestFit="1" customWidth="1"/>
    <col min="15" max="15" width="17" bestFit="1" customWidth="1"/>
  </cols>
  <sheetData>
    <row r="3" spans="2:13" ht="13.5" thickBot="1"/>
    <row r="4" spans="2:13" ht="22.15" customHeight="1" thickTop="1">
      <c r="B4" s="1018" t="s">
        <v>1197</v>
      </c>
      <c r="C4" s="1019"/>
      <c r="D4" s="1019"/>
      <c r="E4" s="1019"/>
      <c r="F4" s="1019"/>
      <c r="G4" s="1019"/>
      <c r="H4" s="1019"/>
      <c r="I4" s="1019"/>
      <c r="J4" s="1019"/>
      <c r="K4" s="631" t="s">
        <v>393</v>
      </c>
      <c r="L4" s="632"/>
    </row>
    <row r="5" spans="2:13" ht="22.15" customHeight="1">
      <c r="B5" s="1020"/>
      <c r="C5" s="1021"/>
      <c r="D5" s="1021"/>
      <c r="E5" s="1021"/>
      <c r="F5" s="1021"/>
      <c r="G5" s="1021"/>
      <c r="H5" s="1021"/>
      <c r="I5" s="1021"/>
      <c r="J5" s="1021"/>
      <c r="K5" s="1" t="s">
        <v>394</v>
      </c>
      <c r="L5" s="633" t="s">
        <v>395</v>
      </c>
    </row>
    <row r="6" spans="2:13" ht="22.15" customHeight="1">
      <c r="B6" s="1020"/>
      <c r="C6" s="1021"/>
      <c r="D6" s="1021"/>
      <c r="E6" s="1021"/>
      <c r="F6" s="1021"/>
      <c r="G6" s="1021"/>
      <c r="H6" s="1021"/>
      <c r="I6" s="1021"/>
      <c r="J6" s="1021"/>
      <c r="K6" s="4" t="s">
        <v>396</v>
      </c>
      <c r="L6" s="634"/>
    </row>
    <row r="7" spans="2:13" ht="22.15" customHeight="1">
      <c r="B7" s="1022"/>
      <c r="C7" s="1023"/>
      <c r="D7" s="1023"/>
      <c r="E7" s="1023"/>
      <c r="F7" s="1023"/>
      <c r="G7" s="1023"/>
      <c r="H7" s="1023"/>
      <c r="I7" s="1023"/>
      <c r="J7" s="1023"/>
      <c r="K7" s="1023"/>
      <c r="L7" s="1024"/>
    </row>
    <row r="8" spans="2:13" s="6" customFormat="1" ht="45" customHeight="1">
      <c r="B8" s="638" t="s">
        <v>398</v>
      </c>
      <c r="C8" s="8">
        <v>1.1000000000000001</v>
      </c>
      <c r="D8" s="9" t="s">
        <v>1026</v>
      </c>
      <c r="E8" s="9"/>
      <c r="F8" s="9"/>
      <c r="G8" s="9"/>
      <c r="H8" s="9"/>
      <c r="I8" s="9"/>
      <c r="J8" s="9"/>
      <c r="K8" s="10"/>
      <c r="L8" s="639"/>
      <c r="M8" s="6" t="s">
        <v>1198</v>
      </c>
    </row>
    <row r="9" spans="2:13" ht="7.9" customHeight="1">
      <c r="B9" s="1005"/>
      <c r="C9" s="1006"/>
      <c r="D9" s="1006"/>
      <c r="E9" s="1006"/>
      <c r="F9" s="1006"/>
      <c r="G9" s="1006"/>
      <c r="H9" s="1006"/>
      <c r="I9" s="1006"/>
      <c r="J9" s="1006"/>
      <c r="K9" s="1006"/>
      <c r="L9" s="1007"/>
    </row>
    <row r="10" spans="2:13" ht="31.15" customHeight="1">
      <c r="B10" s="642" t="s">
        <v>399</v>
      </c>
      <c r="C10" s="11">
        <f>+'PROPUESTA ECONOMICA(Proponente)'!C21</f>
        <v>1.1000000000000001</v>
      </c>
      <c r="D10" s="12" t="str">
        <f>+VLOOKUP('MEMORIAS DE CANTIDADES'!C10,'PROPUESTA ECONOMICA(Proponente)'!$C$21:$H$310,5,FALSE)</f>
        <v>Localización y replanteo topográfico</v>
      </c>
      <c r="E10" s="13"/>
      <c r="F10" s="12"/>
      <c r="G10" s="12"/>
      <c r="H10" s="12"/>
      <c r="I10" s="11" t="s">
        <v>400</v>
      </c>
      <c r="J10" s="12" t="str">
        <f>+VLOOKUP('MEMORIAS DE CANTIDADES'!C10,'PROPUESTA ECONOMICA(Proponente)'!$C$21:$H$310,6,FALSE)</f>
        <v>m2</v>
      </c>
      <c r="K10" s="11" t="s">
        <v>401</v>
      </c>
      <c r="L10" s="643">
        <f>SUM(L11:L18)</f>
        <v>21324.399999999998</v>
      </c>
    </row>
    <row r="11" spans="2:13" ht="15">
      <c r="B11" s="644"/>
      <c r="C11" s="16"/>
      <c r="D11" s="15"/>
      <c r="E11" s="15"/>
      <c r="F11" s="15"/>
      <c r="G11" s="15"/>
      <c r="H11" s="15"/>
      <c r="I11" s="15"/>
      <c r="J11" s="15"/>
      <c r="K11" s="17"/>
      <c r="L11" s="645"/>
    </row>
    <row r="12" spans="2:13" ht="47.25">
      <c r="B12" s="646" t="s">
        <v>402</v>
      </c>
      <c r="C12" s="18" t="s">
        <v>403</v>
      </c>
      <c r="D12" s="18" t="s">
        <v>404</v>
      </c>
      <c r="E12" s="18" t="s">
        <v>405</v>
      </c>
      <c r="F12" s="18" t="s">
        <v>406</v>
      </c>
      <c r="G12" s="18" t="s">
        <v>407</v>
      </c>
      <c r="H12" s="5" t="s">
        <v>408</v>
      </c>
      <c r="I12" s="18" t="s">
        <v>409</v>
      </c>
      <c r="J12" s="5" t="s">
        <v>410</v>
      </c>
      <c r="K12" s="5" t="s">
        <v>411</v>
      </c>
      <c r="L12" s="647" t="s">
        <v>412</v>
      </c>
    </row>
    <row r="13" spans="2:13" ht="15">
      <c r="B13" s="648" t="s">
        <v>859</v>
      </c>
      <c r="C13" s="20">
        <v>20116.599999999999</v>
      </c>
      <c r="D13" s="20"/>
      <c r="E13" s="20"/>
      <c r="F13" s="20"/>
      <c r="G13" s="20"/>
      <c r="H13" s="21"/>
      <c r="I13" s="17"/>
      <c r="J13" s="22"/>
      <c r="K13" s="17"/>
      <c r="L13" s="649">
        <f>PRODUCT(C13:K13)</f>
        <v>20116.599999999999</v>
      </c>
    </row>
    <row r="14" spans="2:13" ht="15">
      <c r="B14" s="650" t="s">
        <v>860</v>
      </c>
      <c r="C14" s="20">
        <v>1207.8</v>
      </c>
      <c r="D14" s="20"/>
      <c r="E14" s="20"/>
      <c r="F14" s="20"/>
      <c r="G14" s="20"/>
      <c r="H14" s="20"/>
      <c r="I14" s="20"/>
      <c r="J14" s="24"/>
      <c r="K14" s="17"/>
      <c r="L14" s="649">
        <f>PRODUCT(C14:K14)</f>
        <v>1207.8</v>
      </c>
    </row>
    <row r="15" spans="2:13" ht="15">
      <c r="B15" s="650"/>
      <c r="C15" s="20"/>
      <c r="D15" s="20"/>
      <c r="E15" s="20"/>
      <c r="F15" s="20"/>
      <c r="G15" s="20"/>
      <c r="H15" s="20"/>
      <c r="I15" s="20"/>
      <c r="J15" s="24"/>
      <c r="K15" s="17"/>
      <c r="L15" s="645"/>
    </row>
    <row r="16" spans="2:13" ht="15">
      <c r="B16" s="650"/>
      <c r="C16" s="20"/>
      <c r="D16" s="20"/>
      <c r="E16" s="20"/>
      <c r="F16" s="20"/>
      <c r="G16" s="20"/>
      <c r="H16" s="19"/>
      <c r="I16" s="20"/>
      <c r="J16" s="24"/>
      <c r="K16" s="17"/>
      <c r="L16" s="645"/>
    </row>
    <row r="17" spans="2:12" ht="15">
      <c r="B17" s="650"/>
      <c r="C17" s="20"/>
      <c r="D17" s="20"/>
      <c r="E17" s="20"/>
      <c r="F17" s="20"/>
      <c r="G17" s="20"/>
      <c r="H17" s="19"/>
      <c r="I17" s="20"/>
      <c r="J17" s="24"/>
      <c r="K17" s="17"/>
      <c r="L17" s="645"/>
    </row>
    <row r="18" spans="2:12" ht="15.75" outlineLevel="1">
      <c r="B18" s="1002" t="s">
        <v>414</v>
      </c>
      <c r="C18" s="1003"/>
      <c r="D18" s="1003"/>
      <c r="E18" s="1003"/>
      <c r="F18" s="1003"/>
      <c r="G18" s="1003"/>
      <c r="H18" s="1003"/>
      <c r="I18" s="1003"/>
      <c r="J18" s="1003"/>
      <c r="K18" s="1003"/>
      <c r="L18" s="1004"/>
    </row>
    <row r="19" spans="2:12">
      <c r="B19" s="651"/>
      <c r="L19" s="652"/>
    </row>
    <row r="20" spans="2:12" ht="15.75">
      <c r="B20" s="638" t="s">
        <v>413</v>
      </c>
      <c r="C20" s="8">
        <v>1.1000000000000001</v>
      </c>
      <c r="D20" s="9" t="s">
        <v>1026</v>
      </c>
      <c r="E20" s="9"/>
      <c r="F20" s="9"/>
      <c r="G20" s="9"/>
      <c r="H20" s="9"/>
      <c r="I20" s="9"/>
      <c r="J20" s="9"/>
      <c r="K20" s="10"/>
      <c r="L20" s="639"/>
    </row>
    <row r="21" spans="2:12" ht="8.4499999999999993" customHeight="1">
      <c r="B21" s="1005"/>
      <c r="C21" s="1006"/>
      <c r="D21" s="1006"/>
      <c r="E21" s="1006"/>
      <c r="F21" s="1006"/>
      <c r="G21" s="1006"/>
      <c r="H21" s="1006"/>
      <c r="I21" s="1006"/>
      <c r="J21" s="1006"/>
      <c r="K21" s="1006"/>
      <c r="L21" s="1007"/>
    </row>
    <row r="22" spans="2:12" ht="31.5">
      <c r="B22" s="642" t="s">
        <v>399</v>
      </c>
      <c r="C22" s="11">
        <f>+'PROPUESTA ECONOMICA(Proponente)'!C22</f>
        <v>1.2</v>
      </c>
      <c r="D22" s="12" t="str">
        <f>+VLOOKUP('MEMORIAS DE CANTIDADES'!C22,'PROPUESTA ECONOMICA(Proponente)'!$C$21:$H$310,5,FALSE)</f>
        <v>Cerramiento en Lamina de zinc h=2.0 m, incluye listones de madera 1" x 2" y concreto 3000 psi</v>
      </c>
      <c r="E22" s="13"/>
      <c r="F22" s="12"/>
      <c r="G22" s="12"/>
      <c r="H22" s="12"/>
      <c r="I22" s="11" t="s">
        <v>400</v>
      </c>
      <c r="J22" s="12" t="str">
        <f>+VLOOKUP('MEMORIAS DE CANTIDADES'!C22,'PROPUESTA ECONOMICA(Proponente)'!$C$21:$H$310,6,FALSE)</f>
        <v>m</v>
      </c>
      <c r="K22" s="11" t="s">
        <v>401</v>
      </c>
      <c r="L22" s="643">
        <f>SUM(L23:L30)</f>
        <v>564</v>
      </c>
    </row>
    <row r="23" spans="2:12" ht="15">
      <c r="B23" s="644"/>
      <c r="C23" s="16"/>
      <c r="D23" s="15"/>
      <c r="E23" s="15"/>
      <c r="F23" s="15"/>
      <c r="G23" s="15"/>
      <c r="H23" s="15"/>
      <c r="I23" s="15"/>
      <c r="J23" s="15"/>
      <c r="K23" s="17"/>
      <c r="L23" s="645"/>
    </row>
    <row r="24" spans="2:12" ht="47.25">
      <c r="B24" s="646" t="s">
        <v>402</v>
      </c>
      <c r="C24" s="18" t="s">
        <v>403</v>
      </c>
      <c r="D24" s="18" t="s">
        <v>404</v>
      </c>
      <c r="E24" s="18" t="s">
        <v>405</v>
      </c>
      <c r="F24" s="18" t="s">
        <v>406</v>
      </c>
      <c r="G24" s="18" t="s">
        <v>407</v>
      </c>
      <c r="H24" s="5" t="s">
        <v>408</v>
      </c>
      <c r="I24" s="18" t="s">
        <v>409</v>
      </c>
      <c r="J24" s="5" t="s">
        <v>410</v>
      </c>
      <c r="K24" s="5" t="s">
        <v>411</v>
      </c>
      <c r="L24" s="647" t="s">
        <v>412</v>
      </c>
    </row>
    <row r="25" spans="2:12" ht="15">
      <c r="B25" s="648"/>
      <c r="C25" s="19"/>
      <c r="D25" s="20"/>
      <c r="E25" s="20"/>
      <c r="F25" s="20">
        <v>564</v>
      </c>
      <c r="G25" s="20"/>
      <c r="H25" s="21"/>
      <c r="I25" s="17"/>
      <c r="J25" s="22"/>
      <c r="K25" s="17"/>
      <c r="L25" s="649">
        <f>PRODUCT(C25:K25)</f>
        <v>564</v>
      </c>
    </row>
    <row r="26" spans="2:12" ht="15">
      <c r="B26" s="650"/>
      <c r="C26" s="20"/>
      <c r="D26" s="20"/>
      <c r="E26" s="20"/>
      <c r="F26" s="20"/>
      <c r="G26" s="20"/>
      <c r="H26" s="20"/>
      <c r="I26" s="20"/>
      <c r="J26" s="24"/>
      <c r="K26" s="17"/>
      <c r="L26" s="645"/>
    </row>
    <row r="27" spans="2:12" ht="15">
      <c r="B27" s="650"/>
      <c r="C27" s="20"/>
      <c r="D27" s="20"/>
      <c r="E27" s="20"/>
      <c r="F27" s="20"/>
      <c r="G27" s="20"/>
      <c r="H27" s="20"/>
      <c r="I27" s="20"/>
      <c r="J27" s="24"/>
      <c r="K27" s="17"/>
      <c r="L27" s="645"/>
    </row>
    <row r="28" spans="2:12" ht="15">
      <c r="B28" s="650"/>
      <c r="C28" s="20"/>
      <c r="D28" s="20"/>
      <c r="E28" s="20"/>
      <c r="F28" s="20"/>
      <c r="G28" s="20"/>
      <c r="H28" s="19"/>
      <c r="I28" s="20"/>
      <c r="J28" s="24"/>
      <c r="K28" s="17"/>
      <c r="L28" s="645"/>
    </row>
    <row r="29" spans="2:12" ht="15">
      <c r="B29" s="650"/>
      <c r="C29" s="20"/>
      <c r="D29" s="20"/>
      <c r="E29" s="20"/>
      <c r="F29" s="20"/>
      <c r="G29" s="20"/>
      <c r="H29" s="19"/>
      <c r="I29" s="20"/>
      <c r="J29" s="24"/>
      <c r="K29" s="17"/>
      <c r="L29" s="645"/>
    </row>
    <row r="30" spans="2:12" ht="15.75">
      <c r="B30" s="1002" t="s">
        <v>414</v>
      </c>
      <c r="C30" s="1003"/>
      <c r="D30" s="1003"/>
      <c r="E30" s="1003"/>
      <c r="F30" s="1003"/>
      <c r="G30" s="1003"/>
      <c r="H30" s="1003"/>
      <c r="I30" s="1003"/>
      <c r="J30" s="1003"/>
      <c r="K30" s="1003"/>
      <c r="L30" s="1004"/>
    </row>
    <row r="31" spans="2:12">
      <c r="B31" s="651"/>
      <c r="L31" s="652"/>
    </row>
    <row r="32" spans="2:12">
      <c r="B32" s="651"/>
      <c r="L32" s="652"/>
    </row>
    <row r="33" spans="2:12" ht="15.75">
      <c r="B33" s="638" t="s">
        <v>413</v>
      </c>
      <c r="C33" s="8">
        <v>1.1000000000000001</v>
      </c>
      <c r="D33" s="9" t="s">
        <v>1026</v>
      </c>
      <c r="E33" s="9"/>
      <c r="F33" s="9"/>
      <c r="G33" s="9"/>
      <c r="H33" s="9"/>
      <c r="I33" s="9"/>
      <c r="J33" s="9"/>
      <c r="K33" s="10"/>
      <c r="L33" s="639"/>
    </row>
    <row r="34" spans="2:12" ht="15">
      <c r="B34" s="1005"/>
      <c r="C34" s="1006"/>
      <c r="D34" s="1006"/>
      <c r="E34" s="1006"/>
      <c r="F34" s="1006"/>
      <c r="G34" s="1006"/>
      <c r="H34" s="1006"/>
      <c r="I34" s="1006"/>
      <c r="J34" s="1006"/>
      <c r="K34" s="1006"/>
      <c r="L34" s="1007"/>
    </row>
    <row r="35" spans="2:12" ht="47.25">
      <c r="B35" s="642" t="s">
        <v>399</v>
      </c>
      <c r="C35" s="26">
        <f>+'PROPUESTA ECONOMICA(Proponente)'!C23</f>
        <v>1.3</v>
      </c>
      <c r="D35" s="12" t="str">
        <f>+VLOOKUP('MEMORIAS DE CANTIDADES'!C35,'PROPUESTA ECONOMICA(Proponente)'!$C$21:$H$310,5,FALSE)</f>
        <v>DESCAPOTE CON EQUIPO -Corte de maleza, descapote y nivelación del área Interior al campo de juego (INCLUYE CARGUE Y RETIRO)</v>
      </c>
      <c r="E35" s="13"/>
      <c r="F35" s="12"/>
      <c r="G35" s="12"/>
      <c r="H35" s="12"/>
      <c r="I35" s="11" t="s">
        <v>400</v>
      </c>
      <c r="J35" s="12" t="str">
        <f>+VLOOKUP('MEMORIAS DE CANTIDADES'!C35,'PROPUESTA ECONOMICA(Proponente)'!$C$21:$H$310,6,FALSE)</f>
        <v>m3</v>
      </c>
      <c r="K35" s="11" t="s">
        <v>401</v>
      </c>
      <c r="L35" s="643">
        <f>SUM(L36:L43)</f>
        <v>2132.44</v>
      </c>
    </row>
    <row r="36" spans="2:12" ht="15">
      <c r="B36" s="644"/>
      <c r="C36" s="16"/>
      <c r="D36" s="15"/>
      <c r="E36" s="15"/>
      <c r="F36" s="15"/>
      <c r="G36" s="15"/>
      <c r="H36" s="15"/>
      <c r="I36" s="15"/>
      <c r="J36" s="15"/>
      <c r="K36" s="17"/>
      <c r="L36" s="645"/>
    </row>
    <row r="37" spans="2:12" ht="47.25">
      <c r="B37" s="646" t="s">
        <v>402</v>
      </c>
      <c r="C37" s="18" t="s">
        <v>403</v>
      </c>
      <c r="D37" s="18" t="s">
        <v>404</v>
      </c>
      <c r="E37" s="18" t="s">
        <v>405</v>
      </c>
      <c r="F37" s="18" t="s">
        <v>406</v>
      </c>
      <c r="G37" s="18" t="s">
        <v>407</v>
      </c>
      <c r="H37" s="5" t="s">
        <v>408</v>
      </c>
      <c r="I37" s="18" t="s">
        <v>409</v>
      </c>
      <c r="J37" s="5" t="s">
        <v>410</v>
      </c>
      <c r="K37" s="5" t="s">
        <v>411</v>
      </c>
      <c r="L37" s="647" t="s">
        <v>412</v>
      </c>
    </row>
    <row r="38" spans="2:12" ht="15">
      <c r="B38" s="648" t="s">
        <v>859</v>
      </c>
      <c r="C38" s="19">
        <v>20116.599999999999</v>
      </c>
      <c r="D38" s="20"/>
      <c r="E38" s="20">
        <v>0.1</v>
      </c>
      <c r="F38" s="20"/>
      <c r="G38" s="20"/>
      <c r="H38" s="21"/>
      <c r="I38" s="17"/>
      <c r="J38" s="22"/>
      <c r="K38" s="17"/>
      <c r="L38" s="649">
        <f>PRODUCT(C38:K38)</f>
        <v>2011.6599999999999</v>
      </c>
    </row>
    <row r="39" spans="2:12" ht="15">
      <c r="B39" s="650" t="s">
        <v>860</v>
      </c>
      <c r="C39" s="20">
        <v>1207.8</v>
      </c>
      <c r="D39" s="20"/>
      <c r="E39" s="20">
        <v>0.1</v>
      </c>
      <c r="F39" s="20"/>
      <c r="G39" s="20"/>
      <c r="H39" s="20"/>
      <c r="I39" s="20"/>
      <c r="J39" s="24"/>
      <c r="K39" s="17"/>
      <c r="L39" s="649">
        <f>PRODUCT(C39:K39)</f>
        <v>120.78</v>
      </c>
    </row>
    <row r="40" spans="2:12" ht="15">
      <c r="B40" s="650"/>
      <c r="C40" s="20"/>
      <c r="D40" s="20"/>
      <c r="E40" s="20"/>
      <c r="F40" s="20"/>
      <c r="G40" s="20"/>
      <c r="H40" s="20"/>
      <c r="I40" s="20"/>
      <c r="J40" s="24"/>
      <c r="K40" s="17"/>
      <c r="L40" s="645"/>
    </row>
    <row r="41" spans="2:12" ht="15">
      <c r="B41" s="650"/>
      <c r="C41" s="20"/>
      <c r="D41" s="20"/>
      <c r="E41" s="20"/>
      <c r="F41" s="20"/>
      <c r="G41" s="20"/>
      <c r="H41" s="19"/>
      <c r="I41" s="20"/>
      <c r="J41" s="24"/>
      <c r="K41" s="17"/>
      <c r="L41" s="645"/>
    </row>
    <row r="42" spans="2:12" ht="15">
      <c r="B42" s="650"/>
      <c r="C42" s="20"/>
      <c r="D42" s="20"/>
      <c r="E42" s="20"/>
      <c r="F42" s="20"/>
      <c r="G42" s="20"/>
      <c r="H42" s="19"/>
      <c r="I42" s="20"/>
      <c r="J42" s="24"/>
      <c r="K42" s="17"/>
      <c r="L42" s="645"/>
    </row>
    <row r="43" spans="2:12" ht="15.75">
      <c r="B43" s="1002" t="s">
        <v>414</v>
      </c>
      <c r="C43" s="1003"/>
      <c r="D43" s="1003"/>
      <c r="E43" s="1003"/>
      <c r="F43" s="1003"/>
      <c r="G43" s="1003"/>
      <c r="H43" s="1003"/>
      <c r="I43" s="1003"/>
      <c r="J43" s="1003"/>
      <c r="K43" s="1003"/>
      <c r="L43" s="1004"/>
    </row>
    <row r="44" spans="2:12">
      <c r="B44" s="651"/>
      <c r="L44" s="652"/>
    </row>
    <row r="45" spans="2:12" ht="15.75">
      <c r="B45" s="638" t="s">
        <v>413</v>
      </c>
      <c r="C45" s="8">
        <v>1.1000000000000001</v>
      </c>
      <c r="D45" s="9" t="s">
        <v>1026</v>
      </c>
      <c r="E45" s="9"/>
      <c r="F45" s="9"/>
      <c r="G45" s="9"/>
      <c r="H45" s="9"/>
      <c r="I45" s="9"/>
      <c r="J45" s="9"/>
      <c r="K45" s="10"/>
      <c r="L45" s="639"/>
    </row>
    <row r="46" spans="2:12" ht="15">
      <c r="B46" s="1005"/>
      <c r="C46" s="1006"/>
      <c r="D46" s="1006"/>
      <c r="E46" s="1006"/>
      <c r="F46" s="1006"/>
      <c r="G46" s="1006"/>
      <c r="H46" s="1006"/>
      <c r="I46" s="1006"/>
      <c r="J46" s="1006"/>
      <c r="K46" s="1006"/>
      <c r="L46" s="1007"/>
    </row>
    <row r="47" spans="2:12" ht="31.5">
      <c r="B47" s="653" t="s">
        <v>399</v>
      </c>
      <c r="C47" s="26">
        <f>+'PROPUESTA ECONOMICA(Proponente)'!C24</f>
        <v>1.4</v>
      </c>
      <c r="D47" s="12" t="str">
        <f>+VLOOKUP('MEMORIAS DE CANTIDADES'!C47,'PROPUESTA ECONOMICA(Proponente)'!$C$21:$H$310,5,FALSE)</f>
        <v>Demolición de anden (Incluye retiro al botadero autorizado)</v>
      </c>
      <c r="E47" s="13"/>
      <c r="F47" s="12"/>
      <c r="G47" s="12"/>
      <c r="H47" s="12"/>
      <c r="I47" s="11" t="s">
        <v>400</v>
      </c>
      <c r="J47" s="12" t="str">
        <f>+VLOOKUP('MEMORIAS DE CANTIDADES'!C47,'PROPUESTA ECONOMICA(Proponente)'!$C$21:$H$310,6,FALSE)</f>
        <v>m2</v>
      </c>
      <c r="K47" s="11" t="s">
        <v>401</v>
      </c>
      <c r="L47" s="643">
        <f>SUM(L48:L55)</f>
        <v>1178</v>
      </c>
    </row>
    <row r="48" spans="2:12" ht="15">
      <c r="B48" s="644"/>
      <c r="C48" s="16"/>
      <c r="D48" s="15"/>
      <c r="E48" s="15"/>
      <c r="F48" s="15"/>
      <c r="G48" s="15"/>
      <c r="H48" s="15"/>
      <c r="I48" s="15"/>
      <c r="J48" s="15"/>
      <c r="K48" s="17"/>
      <c r="L48" s="645"/>
    </row>
    <row r="49" spans="2:12" ht="47.25">
      <c r="B49" s="642" t="s">
        <v>402</v>
      </c>
      <c r="C49" s="18" t="s">
        <v>403</v>
      </c>
      <c r="D49" s="18" t="s">
        <v>404</v>
      </c>
      <c r="E49" s="18" t="s">
        <v>405</v>
      </c>
      <c r="F49" s="18" t="s">
        <v>406</v>
      </c>
      <c r="G49" s="18" t="s">
        <v>407</v>
      </c>
      <c r="H49" s="5" t="s">
        <v>408</v>
      </c>
      <c r="I49" s="18" t="s">
        <v>409</v>
      </c>
      <c r="J49" s="5" t="s">
        <v>410</v>
      </c>
      <c r="K49" s="5" t="s">
        <v>411</v>
      </c>
      <c r="L49" s="647" t="s">
        <v>412</v>
      </c>
    </row>
    <row r="50" spans="2:12" ht="15">
      <c r="B50" s="648"/>
      <c r="C50" s="654">
        <f>179+566+433</f>
        <v>1178</v>
      </c>
      <c r="D50" s="20"/>
      <c r="E50" s="20"/>
      <c r="F50" s="20"/>
      <c r="G50" s="20"/>
      <c r="H50" s="21"/>
      <c r="I50" s="17"/>
      <c r="J50" s="22"/>
      <c r="K50" s="17"/>
      <c r="L50" s="649">
        <f>PRODUCT(C50:K50)</f>
        <v>1178</v>
      </c>
    </row>
    <row r="51" spans="2:12" ht="15">
      <c r="B51" s="650" t="s">
        <v>953</v>
      </c>
      <c r="C51" s="19">
        <f>352+230</f>
        <v>582</v>
      </c>
      <c r="D51" s="20"/>
      <c r="E51" s="20"/>
      <c r="F51" s="20"/>
      <c r="G51" s="20"/>
      <c r="H51" s="20"/>
      <c r="I51" s="20"/>
      <c r="J51" s="24"/>
      <c r="K51" s="17"/>
      <c r="L51" s="645"/>
    </row>
    <row r="52" spans="2:12" ht="15">
      <c r="B52" s="650"/>
      <c r="C52" s="20"/>
      <c r="D52" s="20"/>
      <c r="E52" s="20"/>
      <c r="F52" s="20"/>
      <c r="G52" s="20"/>
      <c r="H52" s="20"/>
      <c r="I52" s="20"/>
      <c r="J52" s="24"/>
      <c r="K52" s="17"/>
      <c r="L52" s="645"/>
    </row>
    <row r="53" spans="2:12" ht="15">
      <c r="B53" s="650"/>
      <c r="C53" s="20"/>
      <c r="D53" s="20"/>
      <c r="E53" s="20"/>
      <c r="F53" s="20"/>
      <c r="G53" s="20"/>
      <c r="H53" s="19"/>
      <c r="I53" s="20"/>
      <c r="J53" s="24"/>
      <c r="K53" s="17"/>
      <c r="L53" s="645"/>
    </row>
    <row r="54" spans="2:12" ht="15">
      <c r="B54" s="650"/>
      <c r="C54" s="20"/>
      <c r="D54" s="20"/>
      <c r="E54" s="20"/>
      <c r="F54" s="20"/>
      <c r="G54" s="20"/>
      <c r="H54" s="19"/>
      <c r="I54" s="20"/>
      <c r="J54" s="24"/>
      <c r="K54" s="17"/>
      <c r="L54" s="645"/>
    </row>
    <row r="55" spans="2:12" ht="15.75">
      <c r="B55" s="1002" t="s">
        <v>414</v>
      </c>
      <c r="C55" s="1003"/>
      <c r="D55" s="1003"/>
      <c r="E55" s="1003"/>
      <c r="F55" s="1003"/>
      <c r="G55" s="1003"/>
      <c r="H55" s="1003"/>
      <c r="I55" s="1003"/>
      <c r="J55" s="1003"/>
      <c r="K55" s="1003"/>
      <c r="L55" s="1004"/>
    </row>
    <row r="56" spans="2:12">
      <c r="B56" s="651"/>
      <c r="L56" s="652"/>
    </row>
    <row r="57" spans="2:12" ht="15.75">
      <c r="B57" s="638" t="s">
        <v>413</v>
      </c>
      <c r="C57" s="8">
        <v>1.1000000000000001</v>
      </c>
      <c r="D57" s="9" t="s">
        <v>1026</v>
      </c>
      <c r="E57" s="9"/>
      <c r="F57" s="9"/>
      <c r="G57" s="9"/>
      <c r="H57" s="9"/>
      <c r="I57" s="9"/>
      <c r="J57" s="9"/>
      <c r="K57" s="10"/>
      <c r="L57" s="639"/>
    </row>
    <row r="58" spans="2:12" ht="15">
      <c r="B58" s="1005"/>
      <c r="C58" s="1006"/>
      <c r="D58" s="1006"/>
      <c r="E58" s="1006"/>
      <c r="F58" s="1006"/>
      <c r="G58" s="1006"/>
      <c r="H58" s="1006"/>
      <c r="I58" s="1006"/>
      <c r="J58" s="1006"/>
      <c r="K58" s="1006"/>
      <c r="L58" s="1007"/>
    </row>
    <row r="59" spans="2:12" ht="47.25">
      <c r="B59" s="653" t="s">
        <v>399</v>
      </c>
      <c r="C59" s="26">
        <f>+'PROPUESTA ECONOMICA(Proponente)'!C25</f>
        <v>1.5</v>
      </c>
      <c r="D59" s="12" t="str">
        <f>+VLOOKUP('MEMORIAS DE CANTIDADES'!C59,'PROPUESTA ECONOMICA(Proponente)'!$C$21:$H$310,5,FALSE)</f>
        <v>Demolición de plantillas y Senderos internos existentes (Incluye retiro al botadero autorizado)</v>
      </c>
      <c r="E59" s="13"/>
      <c r="F59" s="12"/>
      <c r="G59" s="12"/>
      <c r="H59" s="12"/>
      <c r="I59" s="11" t="s">
        <v>400</v>
      </c>
      <c r="J59" s="12" t="str">
        <f>+VLOOKUP('MEMORIAS DE CANTIDADES'!C59,'PROPUESTA ECONOMICA(Proponente)'!$C$21:$H$310,6,FALSE)</f>
        <v>m2</v>
      </c>
      <c r="K59" s="11" t="s">
        <v>401</v>
      </c>
      <c r="L59" s="643">
        <f>SUM(L60:L67)</f>
        <v>919</v>
      </c>
    </row>
    <row r="60" spans="2:12" ht="15">
      <c r="B60" s="644"/>
      <c r="C60" s="16"/>
      <c r="D60" s="15"/>
      <c r="E60" s="15"/>
      <c r="F60" s="15"/>
      <c r="G60" s="15"/>
      <c r="H60" s="15"/>
      <c r="I60" s="15"/>
      <c r="J60" s="15"/>
      <c r="K60" s="17"/>
      <c r="L60" s="645"/>
    </row>
    <row r="61" spans="2:12" ht="47.25">
      <c r="B61" s="646" t="s">
        <v>402</v>
      </c>
      <c r="C61" s="18" t="s">
        <v>403</v>
      </c>
      <c r="D61" s="18" t="s">
        <v>404</v>
      </c>
      <c r="E61" s="18" t="s">
        <v>405</v>
      </c>
      <c r="F61" s="18" t="s">
        <v>406</v>
      </c>
      <c r="G61" s="18" t="s">
        <v>407</v>
      </c>
      <c r="H61" s="5" t="s">
        <v>408</v>
      </c>
      <c r="I61" s="18" t="s">
        <v>409</v>
      </c>
      <c r="J61" s="5" t="s">
        <v>410</v>
      </c>
      <c r="K61" s="5" t="s">
        <v>411</v>
      </c>
      <c r="L61" s="647" t="s">
        <v>412</v>
      </c>
    </row>
    <row r="62" spans="2:12" ht="15">
      <c r="B62" s="648" t="s">
        <v>592</v>
      </c>
      <c r="C62" s="654">
        <v>161</v>
      </c>
      <c r="D62" s="20"/>
      <c r="E62" s="20"/>
      <c r="F62" s="20"/>
      <c r="G62" s="20"/>
      <c r="H62" s="21"/>
      <c r="I62" s="17"/>
      <c r="J62" s="22"/>
      <c r="K62" s="17"/>
      <c r="L62" s="649">
        <f>PRODUCT(C62:K62)</f>
        <v>161</v>
      </c>
    </row>
    <row r="63" spans="2:12" ht="15">
      <c r="B63" s="650" t="s">
        <v>593</v>
      </c>
      <c r="C63" s="20">
        <v>698</v>
      </c>
      <c r="D63" s="20"/>
      <c r="E63" s="20"/>
      <c r="F63" s="20"/>
      <c r="G63" s="20"/>
      <c r="H63" s="20"/>
      <c r="I63" s="20"/>
      <c r="J63" s="24"/>
      <c r="K63" s="17"/>
      <c r="L63" s="649">
        <f t="shared" ref="L63" si="0">PRODUCT(C63:K63)</f>
        <v>698</v>
      </c>
    </row>
    <row r="64" spans="2:12" ht="15">
      <c r="B64" s="650" t="s">
        <v>594</v>
      </c>
      <c r="C64" s="20"/>
      <c r="D64" s="19">
        <v>3</v>
      </c>
      <c r="E64" s="19"/>
      <c r="F64" s="19">
        <v>10</v>
      </c>
      <c r="G64" s="20"/>
      <c r="H64" s="20"/>
      <c r="I64" s="20">
        <v>2</v>
      </c>
      <c r="J64" s="24"/>
      <c r="K64" s="17"/>
      <c r="L64" s="649">
        <f>PRODUCT(C64:K64)</f>
        <v>60</v>
      </c>
    </row>
    <row r="65" spans="2:12" ht="15">
      <c r="B65" s="650"/>
      <c r="C65" s="20"/>
      <c r="D65" s="20"/>
      <c r="E65" s="20"/>
      <c r="F65" s="20"/>
      <c r="G65" s="20"/>
      <c r="H65" s="19"/>
      <c r="I65" s="20"/>
      <c r="J65" s="24"/>
      <c r="K65" s="17"/>
      <c r="L65" s="645"/>
    </row>
    <row r="66" spans="2:12" ht="15">
      <c r="B66" s="650"/>
      <c r="C66" s="20"/>
      <c r="D66" s="20"/>
      <c r="E66" s="20"/>
      <c r="F66" s="20"/>
      <c r="G66" s="20"/>
      <c r="H66" s="19"/>
      <c r="I66" s="20"/>
      <c r="J66" s="24"/>
      <c r="K66" s="17"/>
      <c r="L66" s="645"/>
    </row>
    <row r="67" spans="2:12" ht="15.75">
      <c r="B67" s="1002" t="s">
        <v>414</v>
      </c>
      <c r="C67" s="1003"/>
      <c r="D67" s="1003"/>
      <c r="E67" s="1003"/>
      <c r="F67" s="1003"/>
      <c r="G67" s="1003"/>
      <c r="H67" s="1003"/>
      <c r="I67" s="1003"/>
      <c r="J67" s="1003"/>
      <c r="K67" s="1003"/>
      <c r="L67" s="1004"/>
    </row>
    <row r="68" spans="2:12">
      <c r="B68" s="651"/>
      <c r="L68" s="652"/>
    </row>
    <row r="69" spans="2:12" ht="15.75">
      <c r="B69" s="638" t="s">
        <v>413</v>
      </c>
      <c r="C69" s="8">
        <v>1.1000000000000001</v>
      </c>
      <c r="D69" s="9" t="s">
        <v>1026</v>
      </c>
      <c r="E69" s="9"/>
      <c r="F69" s="9"/>
      <c r="G69" s="9"/>
      <c r="H69" s="9"/>
      <c r="I69" s="9"/>
      <c r="J69" s="9"/>
      <c r="K69" s="10"/>
      <c r="L69" s="639"/>
    </row>
    <row r="70" spans="2:12" ht="15">
      <c r="B70" s="1005"/>
      <c r="C70" s="1006"/>
      <c r="D70" s="1006"/>
      <c r="E70" s="1006"/>
      <c r="F70" s="1006"/>
      <c r="G70" s="1006"/>
      <c r="H70" s="1006"/>
      <c r="I70" s="1006"/>
      <c r="J70" s="1006"/>
      <c r="K70" s="1006"/>
      <c r="L70" s="1007"/>
    </row>
    <row r="71" spans="2:12" ht="31.5">
      <c r="B71" s="642" t="s">
        <v>399</v>
      </c>
      <c r="C71" s="26">
        <f>+'PROPUESTA ECONOMICA(Proponente)'!C26</f>
        <v>1.6</v>
      </c>
      <c r="D71" s="12" t="str">
        <f>+VLOOKUP('MEMORIAS DE CANTIDADES'!C71,'PROPUESTA ECONOMICA(Proponente)'!$C$21:$H$310,5,FALSE)</f>
        <v>Corte de arboles ( 10 m&lt;H&lt;20 m. incluye desenraice, retiro y disposición final)</v>
      </c>
      <c r="E71" s="13"/>
      <c r="F71" s="12"/>
      <c r="G71" s="12"/>
      <c r="H71" s="12"/>
      <c r="I71" s="11" t="s">
        <v>400</v>
      </c>
      <c r="J71" s="12" t="str">
        <f>+VLOOKUP('MEMORIAS DE CANTIDADES'!C71,'PROPUESTA ECONOMICA(Proponente)'!$C$21:$H$310,6,FALSE)</f>
        <v>Und</v>
      </c>
      <c r="K71" s="11" t="s">
        <v>401</v>
      </c>
      <c r="L71" s="643">
        <f>SUM(L72:L79)</f>
        <v>40</v>
      </c>
    </row>
    <row r="72" spans="2:12" ht="15">
      <c r="B72" s="644"/>
      <c r="C72" s="16"/>
      <c r="D72" s="15"/>
      <c r="E72" s="15"/>
      <c r="F72" s="15"/>
      <c r="G72" s="15"/>
      <c r="H72" s="15"/>
      <c r="I72" s="15"/>
      <c r="J72" s="15"/>
      <c r="K72" s="17"/>
      <c r="L72" s="645"/>
    </row>
    <row r="73" spans="2:12" ht="47.25">
      <c r="B73" s="646" t="s">
        <v>402</v>
      </c>
      <c r="C73" s="18" t="s">
        <v>403</v>
      </c>
      <c r="D73" s="18" t="s">
        <v>404</v>
      </c>
      <c r="E73" s="18" t="s">
        <v>405</v>
      </c>
      <c r="F73" s="18" t="s">
        <v>406</v>
      </c>
      <c r="G73" s="18" t="s">
        <v>407</v>
      </c>
      <c r="H73" s="5" t="s">
        <v>408</v>
      </c>
      <c r="I73" s="18" t="s">
        <v>409</v>
      </c>
      <c r="J73" s="5" t="s">
        <v>410</v>
      </c>
      <c r="K73" s="5" t="s">
        <v>411</v>
      </c>
      <c r="L73" s="647" t="s">
        <v>412</v>
      </c>
    </row>
    <row r="74" spans="2:12" ht="15">
      <c r="B74" s="648" t="s">
        <v>417</v>
      </c>
      <c r="C74" s="654"/>
      <c r="D74" s="20"/>
      <c r="E74" s="20"/>
      <c r="F74" s="20"/>
      <c r="G74" s="20"/>
      <c r="H74" s="21"/>
      <c r="I74" s="17">
        <v>40</v>
      </c>
      <c r="J74" s="22"/>
      <c r="K74" s="17"/>
      <c r="L74" s="649">
        <f>PRODUCT(C74:K74)</f>
        <v>40</v>
      </c>
    </row>
    <row r="75" spans="2:12" ht="15">
      <c r="B75" s="650"/>
      <c r="C75" s="20"/>
      <c r="D75" s="20"/>
      <c r="E75" s="20"/>
      <c r="F75" s="20"/>
      <c r="G75" s="20"/>
      <c r="H75" s="20"/>
      <c r="I75" s="20"/>
      <c r="J75" s="24"/>
      <c r="K75" s="17"/>
      <c r="L75" s="645"/>
    </row>
    <row r="76" spans="2:12" ht="15">
      <c r="B76" s="650"/>
      <c r="C76" s="20"/>
      <c r="D76" s="20"/>
      <c r="E76" s="20"/>
      <c r="F76" s="20"/>
      <c r="G76" s="20"/>
      <c r="H76" s="20"/>
      <c r="I76" s="20"/>
      <c r="J76" s="24"/>
      <c r="K76" s="17"/>
      <c r="L76" s="645"/>
    </row>
    <row r="77" spans="2:12" ht="15">
      <c r="B77" s="650"/>
      <c r="C77" s="20"/>
      <c r="D77" s="20"/>
      <c r="E77" s="20"/>
      <c r="F77" s="20"/>
      <c r="G77" s="20"/>
      <c r="H77" s="19"/>
      <c r="I77" s="20"/>
      <c r="J77" s="24"/>
      <c r="K77" s="17"/>
      <c r="L77" s="645"/>
    </row>
    <row r="78" spans="2:12" ht="15">
      <c r="B78" s="650"/>
      <c r="C78" s="20"/>
      <c r="D78" s="20"/>
      <c r="E78" s="20"/>
      <c r="F78" s="20"/>
      <c r="G78" s="20"/>
      <c r="H78" s="19"/>
      <c r="I78" s="20"/>
      <c r="J78" s="24"/>
      <c r="K78" s="17"/>
      <c r="L78" s="645"/>
    </row>
    <row r="79" spans="2:12" ht="15.75">
      <c r="B79" s="1002" t="s">
        <v>414</v>
      </c>
      <c r="C79" s="1003"/>
      <c r="D79" s="1003"/>
      <c r="E79" s="1003"/>
      <c r="F79" s="1003"/>
      <c r="G79" s="1003"/>
      <c r="H79" s="1003"/>
      <c r="I79" s="1003"/>
      <c r="J79" s="1003"/>
      <c r="K79" s="1003"/>
      <c r="L79" s="1004"/>
    </row>
    <row r="80" spans="2:12">
      <c r="B80" s="651"/>
      <c r="L80" s="652"/>
    </row>
    <row r="81" spans="2:12">
      <c r="B81" s="651"/>
      <c r="L81" s="652"/>
    </row>
    <row r="82" spans="2:12" ht="15.75">
      <c r="B82" s="638" t="s">
        <v>413</v>
      </c>
      <c r="C82" s="8">
        <v>1.1000000000000001</v>
      </c>
      <c r="D82" s="9" t="s">
        <v>1026</v>
      </c>
      <c r="E82" s="9"/>
      <c r="F82" s="9"/>
      <c r="G82" s="9"/>
      <c r="H82" s="9"/>
      <c r="I82" s="9"/>
      <c r="J82" s="9"/>
      <c r="K82" s="10"/>
      <c r="L82" s="639"/>
    </row>
    <row r="83" spans="2:12" ht="15">
      <c r="B83" s="1005"/>
      <c r="C83" s="1006"/>
      <c r="D83" s="1006"/>
      <c r="E83" s="1006"/>
      <c r="F83" s="1006"/>
      <c r="G83" s="1006"/>
      <c r="H83" s="1006"/>
      <c r="I83" s="1006"/>
      <c r="J83" s="1006"/>
      <c r="K83" s="1006"/>
      <c r="L83" s="1007"/>
    </row>
    <row r="84" spans="2:12" ht="47.25">
      <c r="B84" s="653" t="s">
        <v>399</v>
      </c>
      <c r="C84" s="29">
        <f>+'PROPUESTA ECONOMICA(Proponente)'!C27</f>
        <v>1.7</v>
      </c>
      <c r="D84" s="12" t="str">
        <f>+VLOOKUP('MEMORIAS DE CANTIDADES'!C84,'PROPUESTA ECONOMICA(Proponente)'!$C$21:$H$310,5,FALSE)</f>
        <v>Demolición de estructuras en concreto reforzado  (Incluye retiro al botadero autorizado)</v>
      </c>
      <c r="E84" s="13"/>
      <c r="F84" s="12"/>
      <c r="G84" s="12"/>
      <c r="H84" s="12"/>
      <c r="I84" s="11" t="s">
        <v>400</v>
      </c>
      <c r="J84" s="12" t="str">
        <f>+VLOOKUP('MEMORIAS DE CANTIDADES'!C84,'PROPUESTA ECONOMICA(Proponente)'!$C$21:$H$310,6,FALSE)</f>
        <v>m3</v>
      </c>
      <c r="K84" s="11" t="s">
        <v>401</v>
      </c>
      <c r="L84" s="643">
        <f>SUM(L85:L96)</f>
        <v>190.5</v>
      </c>
    </row>
    <row r="85" spans="2:12" ht="15">
      <c r="B85" s="644"/>
      <c r="C85" s="16"/>
      <c r="D85" s="15"/>
      <c r="E85" s="15"/>
      <c r="F85" s="15"/>
      <c r="G85" s="15"/>
      <c r="H85" s="15"/>
      <c r="I85" s="15"/>
      <c r="J85" s="15"/>
      <c r="K85" s="17"/>
      <c r="L85" s="645"/>
    </row>
    <row r="86" spans="2:12" ht="47.25">
      <c r="B86" s="646" t="s">
        <v>402</v>
      </c>
      <c r="C86" s="18" t="s">
        <v>403</v>
      </c>
      <c r="D86" s="18" t="s">
        <v>404</v>
      </c>
      <c r="E86" s="18" t="s">
        <v>405</v>
      </c>
      <c r="F86" s="18" t="s">
        <v>406</v>
      </c>
      <c r="G86" s="18" t="s">
        <v>407</v>
      </c>
      <c r="H86" s="5" t="s">
        <v>408</v>
      </c>
      <c r="I86" s="18" t="s">
        <v>409</v>
      </c>
      <c r="J86" s="5" t="s">
        <v>410</v>
      </c>
      <c r="K86" s="5" t="s">
        <v>411</v>
      </c>
      <c r="L86" s="647" t="s">
        <v>412</v>
      </c>
    </row>
    <row r="87" spans="2:12" ht="15">
      <c r="B87" s="648" t="s">
        <v>595</v>
      </c>
      <c r="C87" s="654"/>
      <c r="D87" s="20">
        <v>0.3</v>
      </c>
      <c r="E87" s="20">
        <v>3</v>
      </c>
      <c r="F87" s="20">
        <v>0.3</v>
      </c>
      <c r="G87" s="20"/>
      <c r="H87" s="21"/>
      <c r="I87" s="17">
        <v>10</v>
      </c>
      <c r="J87" s="22"/>
      <c r="K87" s="17"/>
      <c r="L87" s="649">
        <f>PRODUCT(C87:K87)</f>
        <v>2.6999999999999997</v>
      </c>
    </row>
    <row r="88" spans="2:12" ht="15">
      <c r="B88" s="650" t="s">
        <v>596</v>
      </c>
      <c r="C88" s="20" t="s">
        <v>597</v>
      </c>
      <c r="D88" s="20">
        <v>8</v>
      </c>
      <c r="E88" s="20">
        <v>0.3</v>
      </c>
      <c r="F88" s="20">
        <v>38</v>
      </c>
      <c r="G88" s="20"/>
      <c r="H88" s="20"/>
      <c r="I88" s="20"/>
      <c r="J88" s="24"/>
      <c r="K88" s="17"/>
      <c r="L88" s="649">
        <f>PRODUCT(C88:K88)</f>
        <v>91.2</v>
      </c>
    </row>
    <row r="89" spans="2:12" ht="15">
      <c r="B89" s="650" t="s">
        <v>596</v>
      </c>
      <c r="C89" s="20"/>
      <c r="D89" s="20">
        <v>4</v>
      </c>
      <c r="E89" s="20">
        <v>0.3</v>
      </c>
      <c r="F89" s="20">
        <v>34</v>
      </c>
      <c r="G89" s="20"/>
      <c r="H89" s="20"/>
      <c r="I89" s="20"/>
      <c r="J89" s="24"/>
      <c r="K89" s="17"/>
      <c r="L89" s="649">
        <f>PRODUCT(C89:K89)</f>
        <v>40.799999999999997</v>
      </c>
    </row>
    <row r="90" spans="2:12" ht="15">
      <c r="B90" s="655"/>
      <c r="C90" s="20"/>
      <c r="D90" s="20"/>
      <c r="E90" s="20"/>
      <c r="F90" s="20"/>
      <c r="G90" s="20"/>
      <c r="H90" s="19"/>
      <c r="I90" s="20"/>
      <c r="J90" s="24"/>
      <c r="K90" s="17"/>
      <c r="L90" s="645"/>
    </row>
    <row r="91" spans="2:12" ht="15">
      <c r="B91" s="650" t="s">
        <v>954</v>
      </c>
      <c r="C91" s="20"/>
      <c r="D91" s="20"/>
      <c r="E91" s="20"/>
      <c r="F91" s="20"/>
      <c r="G91" s="20"/>
      <c r="H91" s="19"/>
      <c r="I91" s="20"/>
      <c r="J91" s="24"/>
      <c r="K91" s="17"/>
      <c r="L91" s="645"/>
    </row>
    <row r="92" spans="2:12" ht="15">
      <c r="B92" s="650" t="s">
        <v>955</v>
      </c>
      <c r="C92" s="270">
        <v>12</v>
      </c>
      <c r="D92" s="270"/>
      <c r="E92" s="270">
        <v>1.3</v>
      </c>
      <c r="F92" s="270"/>
      <c r="G92" s="270"/>
      <c r="H92" s="270"/>
      <c r="I92" s="270">
        <v>3</v>
      </c>
      <c r="J92" s="272"/>
      <c r="K92" s="17"/>
      <c r="L92" s="656">
        <f>PRODUCT(C92:K92)</f>
        <v>46.800000000000004</v>
      </c>
    </row>
    <row r="93" spans="2:12" ht="15">
      <c r="B93" s="650" t="s">
        <v>956</v>
      </c>
      <c r="C93" s="270">
        <v>20</v>
      </c>
      <c r="D93" s="270"/>
      <c r="E93" s="270">
        <v>0.15</v>
      </c>
      <c r="F93" s="270"/>
      <c r="G93" s="270"/>
      <c r="H93" s="270"/>
      <c r="I93" s="270">
        <v>2</v>
      </c>
      <c r="J93" s="272"/>
      <c r="K93" s="17"/>
      <c r="L93" s="656">
        <f>PRODUCT(C93:K93)</f>
        <v>6</v>
      </c>
    </row>
    <row r="94" spans="2:12" ht="15">
      <c r="B94" s="650" t="s">
        <v>956</v>
      </c>
      <c r="C94" s="270">
        <v>10</v>
      </c>
      <c r="D94" s="270"/>
      <c r="E94" s="270">
        <v>0.15</v>
      </c>
      <c r="F94" s="270"/>
      <c r="G94" s="270"/>
      <c r="H94" s="270"/>
      <c r="I94" s="270">
        <v>2</v>
      </c>
      <c r="J94" s="272"/>
      <c r="K94" s="17"/>
      <c r="L94" s="656">
        <f>PRODUCT(C94:K94)</f>
        <v>3</v>
      </c>
    </row>
    <row r="95" spans="2:12" ht="15">
      <c r="B95" s="650"/>
      <c r="C95" s="20"/>
      <c r="D95" s="20"/>
      <c r="E95" s="20"/>
      <c r="F95" s="20"/>
      <c r="G95" s="20"/>
      <c r="H95" s="19"/>
      <c r="I95" s="20"/>
      <c r="J95" s="24"/>
      <c r="K95" s="17"/>
      <c r="L95" s="645"/>
    </row>
    <row r="96" spans="2:12" ht="15.75">
      <c r="B96" s="1002" t="s">
        <v>414</v>
      </c>
      <c r="C96" s="1003"/>
      <c r="D96" s="1003"/>
      <c r="E96" s="1003"/>
      <c r="F96" s="1003"/>
      <c r="G96" s="1003"/>
      <c r="H96" s="1003"/>
      <c r="I96" s="1003"/>
      <c r="J96" s="1003"/>
      <c r="K96" s="1003"/>
      <c r="L96" s="1004"/>
    </row>
    <row r="97" spans="2:12">
      <c r="B97" s="651"/>
      <c r="L97" s="652"/>
    </row>
    <row r="98" spans="2:12" ht="15.75">
      <c r="B98" s="638" t="s">
        <v>413</v>
      </c>
      <c r="C98" s="8">
        <v>1.1000000000000001</v>
      </c>
      <c r="D98" s="9" t="s">
        <v>1026</v>
      </c>
      <c r="E98" s="9"/>
      <c r="F98" s="9"/>
      <c r="G98" s="9"/>
      <c r="H98" s="9"/>
      <c r="I98" s="9"/>
      <c r="J98" s="9"/>
      <c r="K98" s="10"/>
      <c r="L98" s="639"/>
    </row>
    <row r="99" spans="2:12" ht="15">
      <c r="B99" s="1005"/>
      <c r="C99" s="1006"/>
      <c r="D99" s="1006"/>
      <c r="E99" s="1006"/>
      <c r="F99" s="1006"/>
      <c r="G99" s="1006"/>
      <c r="H99" s="1006"/>
      <c r="I99" s="1006"/>
      <c r="J99" s="1006"/>
      <c r="K99" s="1006"/>
      <c r="L99" s="1007"/>
    </row>
    <row r="100" spans="2:12" ht="47.25">
      <c r="B100" s="646" t="s">
        <v>399</v>
      </c>
      <c r="C100" s="29">
        <f>+'PROPUESTA ECONOMICA(Proponente)'!C28</f>
        <v>1.8</v>
      </c>
      <c r="D100" s="12" t="str">
        <f>+VLOOKUP('MEMORIAS DE CANTIDADES'!C100,'PROPUESTA ECONOMICA(Proponente)'!$C$21:$H$310,5,FALSE)</f>
        <v>Demolición de Muros en block No 4 y No 6, e=0,10 y 0,15 mts  (Incluye retiro al botadero autorizado)</v>
      </c>
      <c r="E100" s="13"/>
      <c r="F100" s="12"/>
      <c r="G100" s="12"/>
      <c r="H100" s="12"/>
      <c r="I100" s="11" t="s">
        <v>400</v>
      </c>
      <c r="J100" s="12" t="str">
        <f>+VLOOKUP('MEMORIAS DE CANTIDADES'!C100,'PROPUESTA ECONOMICA(Proponente)'!$C$21:$H$310,6,FALSE)</f>
        <v>m2</v>
      </c>
      <c r="K100" s="11" t="s">
        <v>401</v>
      </c>
      <c r="L100" s="643">
        <f>SUM(L101:L115)</f>
        <v>592.4</v>
      </c>
    </row>
    <row r="101" spans="2:12" ht="15">
      <c r="B101" s="644"/>
      <c r="C101" s="16"/>
      <c r="D101" s="15"/>
      <c r="E101" s="15"/>
      <c r="F101" s="15"/>
      <c r="G101" s="15"/>
      <c r="H101" s="15"/>
      <c r="I101" s="15"/>
      <c r="J101" s="15"/>
      <c r="K101" s="17"/>
      <c r="L101" s="645"/>
    </row>
    <row r="102" spans="2:12" ht="47.25">
      <c r="B102" s="646" t="s">
        <v>402</v>
      </c>
      <c r="C102" s="18" t="s">
        <v>403</v>
      </c>
      <c r="D102" s="18" t="s">
        <v>404</v>
      </c>
      <c r="E102" s="18" t="s">
        <v>405</v>
      </c>
      <c r="F102" s="18" t="s">
        <v>406</v>
      </c>
      <c r="G102" s="18" t="s">
        <v>407</v>
      </c>
      <c r="H102" s="5" t="s">
        <v>408</v>
      </c>
      <c r="I102" s="18" t="s">
        <v>409</v>
      </c>
      <c r="J102" s="5" t="s">
        <v>410</v>
      </c>
      <c r="K102" s="5" t="s">
        <v>411</v>
      </c>
      <c r="L102" s="647" t="s">
        <v>412</v>
      </c>
    </row>
    <row r="103" spans="2:12" ht="15">
      <c r="B103" s="650" t="s">
        <v>594</v>
      </c>
      <c r="C103" s="20"/>
      <c r="D103" s="20"/>
      <c r="E103" s="20">
        <v>3</v>
      </c>
      <c r="F103" s="20">
        <f>4*10</f>
        <v>40</v>
      </c>
      <c r="G103" s="20"/>
      <c r="H103" s="21"/>
      <c r="I103" s="17"/>
      <c r="J103" s="22">
        <v>2</v>
      </c>
      <c r="K103" s="17"/>
      <c r="L103" s="649">
        <f>PRODUCT(C103:K103)</f>
        <v>240</v>
      </c>
    </row>
    <row r="104" spans="2:12" ht="15">
      <c r="B104" s="650"/>
      <c r="C104" s="20"/>
      <c r="D104" s="20"/>
      <c r="E104" s="20">
        <v>5</v>
      </c>
      <c r="F104" s="20">
        <v>38</v>
      </c>
      <c r="G104" s="20"/>
      <c r="H104" s="20"/>
      <c r="I104" s="20"/>
      <c r="J104" s="24"/>
      <c r="K104" s="17"/>
      <c r="L104" s="649">
        <f>PRODUCT(C104:K104)</f>
        <v>190</v>
      </c>
    </row>
    <row r="105" spans="2:12" ht="15">
      <c r="B105" s="650" t="s">
        <v>592</v>
      </c>
      <c r="C105" s="20"/>
      <c r="D105" s="20"/>
      <c r="E105" s="20">
        <v>3</v>
      </c>
      <c r="F105" s="20">
        <v>20</v>
      </c>
      <c r="G105" s="20"/>
      <c r="H105" s="20"/>
      <c r="I105" s="20"/>
      <c r="J105" s="24"/>
      <c r="K105" s="17"/>
      <c r="L105" s="649">
        <f>PRODUCT(C105:K105)</f>
        <v>60</v>
      </c>
    </row>
    <row r="106" spans="2:12" ht="15">
      <c r="B106" s="650"/>
      <c r="C106" s="20"/>
      <c r="D106" s="20"/>
      <c r="E106" s="20">
        <v>1</v>
      </c>
      <c r="F106" s="20">
        <v>30</v>
      </c>
      <c r="G106" s="20"/>
      <c r="H106" s="19"/>
      <c r="I106" s="20"/>
      <c r="J106" s="24"/>
      <c r="K106" s="17"/>
      <c r="L106" s="649">
        <f>PRODUCT(C106:K106)</f>
        <v>30</v>
      </c>
    </row>
    <row r="107" spans="2:12" ht="15">
      <c r="B107" s="650"/>
      <c r="C107" s="20"/>
      <c r="D107" s="20"/>
      <c r="E107" s="20">
        <v>0.2</v>
      </c>
      <c r="F107" s="20">
        <v>230</v>
      </c>
      <c r="G107" s="20"/>
      <c r="H107" s="19"/>
      <c r="I107" s="20"/>
      <c r="J107" s="24"/>
      <c r="K107" s="17"/>
      <c r="L107" s="645">
        <f>PRODUCT(C107:K107)</f>
        <v>46</v>
      </c>
    </row>
    <row r="108" spans="2:12" ht="15">
      <c r="B108" s="650"/>
      <c r="C108" s="20"/>
      <c r="D108" s="20"/>
      <c r="E108" s="20"/>
      <c r="F108" s="20"/>
      <c r="G108" s="20"/>
      <c r="H108" s="19"/>
      <c r="I108" s="20"/>
      <c r="J108" s="24"/>
      <c r="K108" s="17"/>
      <c r="L108" s="645"/>
    </row>
    <row r="109" spans="2:12" ht="15">
      <c r="B109" s="648" t="s">
        <v>957</v>
      </c>
      <c r="C109" s="654"/>
      <c r="D109" s="270"/>
      <c r="E109" s="270">
        <v>1.35</v>
      </c>
      <c r="F109" s="270">
        <v>16</v>
      </c>
      <c r="G109" s="270"/>
      <c r="H109" s="271"/>
      <c r="I109" s="17"/>
      <c r="J109" s="22"/>
      <c r="K109" s="17"/>
      <c r="L109" s="656">
        <f>PRODUCT(C109:K109)</f>
        <v>21.6</v>
      </c>
    </row>
    <row r="110" spans="2:12" ht="30">
      <c r="B110" s="650" t="s">
        <v>958</v>
      </c>
      <c r="C110" s="270"/>
      <c r="D110" s="270"/>
      <c r="E110" s="270">
        <v>0.4</v>
      </c>
      <c r="F110" s="270">
        <v>12</v>
      </c>
      <c r="G110" s="270"/>
      <c r="H110" s="270"/>
      <c r="I110" s="270"/>
      <c r="J110" s="272"/>
      <c r="K110" s="17"/>
      <c r="L110" s="656">
        <f>PRODUCT(C110:K110)</f>
        <v>4.8000000000000007</v>
      </c>
    </row>
    <row r="111" spans="2:12" ht="15">
      <c r="B111" s="650"/>
      <c r="C111" s="20"/>
      <c r="D111" s="20"/>
      <c r="E111" s="20"/>
      <c r="F111" s="20"/>
      <c r="G111" s="20"/>
      <c r="H111" s="19"/>
      <c r="I111" s="20"/>
      <c r="J111" s="24"/>
      <c r="K111" s="17"/>
      <c r="L111" s="645"/>
    </row>
    <row r="112" spans="2:12" ht="15">
      <c r="B112" s="650"/>
      <c r="C112" s="20"/>
      <c r="D112" s="20"/>
      <c r="E112" s="20"/>
      <c r="F112" s="20"/>
      <c r="G112" s="20"/>
      <c r="H112" s="19"/>
      <c r="I112" s="20"/>
      <c r="J112" s="24"/>
      <c r="K112" s="17"/>
      <c r="L112" s="645"/>
    </row>
    <row r="113" spans="2:12" ht="15">
      <c r="B113" s="650"/>
      <c r="C113" s="20"/>
      <c r="D113" s="20"/>
      <c r="E113" s="20"/>
      <c r="F113" s="20"/>
      <c r="G113" s="20"/>
      <c r="H113" s="19"/>
      <c r="I113" s="20"/>
      <c r="J113" s="24"/>
      <c r="K113" s="17"/>
      <c r="L113" s="645"/>
    </row>
    <row r="114" spans="2:12" ht="15">
      <c r="B114" s="650"/>
      <c r="C114" s="20"/>
      <c r="D114" s="20"/>
      <c r="E114" s="20"/>
      <c r="F114" s="20"/>
      <c r="G114" s="20"/>
      <c r="H114" s="19"/>
      <c r="I114" s="20"/>
      <c r="J114" s="24"/>
      <c r="K114" s="17"/>
      <c r="L114" s="645"/>
    </row>
    <row r="115" spans="2:12" ht="15.75">
      <c r="B115" s="1002" t="s">
        <v>414</v>
      </c>
      <c r="C115" s="1003"/>
      <c r="D115" s="1003"/>
      <c r="E115" s="1003"/>
      <c r="F115" s="1003"/>
      <c r="G115" s="1003"/>
      <c r="H115" s="1003"/>
      <c r="I115" s="1003"/>
      <c r="J115" s="1003"/>
      <c r="K115" s="1003"/>
      <c r="L115" s="1004"/>
    </row>
    <row r="116" spans="2:12">
      <c r="B116" s="651"/>
      <c r="L116" s="652"/>
    </row>
    <row r="117" spans="2:12" ht="15.75">
      <c r="B117" s="638" t="s">
        <v>413</v>
      </c>
      <c r="C117" s="8">
        <v>1.1000000000000001</v>
      </c>
      <c r="D117" s="9" t="s">
        <v>1026</v>
      </c>
      <c r="E117" s="9"/>
      <c r="F117" s="9"/>
      <c r="G117" s="9"/>
      <c r="H117" s="9"/>
      <c r="I117" s="9"/>
      <c r="J117" s="9"/>
      <c r="K117" s="10"/>
      <c r="L117" s="639"/>
    </row>
    <row r="118" spans="2:12" ht="15">
      <c r="B118" s="1005"/>
      <c r="C118" s="1006"/>
      <c r="D118" s="1006"/>
      <c r="E118" s="1006"/>
      <c r="F118" s="1006"/>
      <c r="G118" s="1006"/>
      <c r="H118" s="1006"/>
      <c r="I118" s="1006"/>
      <c r="J118" s="1006"/>
      <c r="K118" s="1006"/>
      <c r="L118" s="1007"/>
    </row>
    <row r="119" spans="2:12" ht="47.25">
      <c r="B119" s="653" t="s">
        <v>399</v>
      </c>
      <c r="C119" s="29">
        <f>+'PROPUESTA ECONOMICA(Proponente)'!C29</f>
        <v>1.9</v>
      </c>
      <c r="D119" s="12" t="str">
        <f>+VLOOKUP('MEMORIAS DE CANTIDADES'!C119,'PROPUESTA ECONOMICA(Proponente)'!$C$21:$H$310,5,FALSE)</f>
        <v>DESMONTE DE CUBIERTAS EXISTENTES: Desmonte cubiertas existentes en laminas de zinc</v>
      </c>
      <c r="E119" s="13"/>
      <c r="F119" s="12"/>
      <c r="G119" s="12"/>
      <c r="H119" s="12"/>
      <c r="I119" s="11" t="s">
        <v>400</v>
      </c>
      <c r="J119" s="12" t="str">
        <f>+VLOOKUP('MEMORIAS DE CANTIDADES'!C119,'PROPUESTA ECONOMICA(Proponente)'!$C$21:$H$310,6,FALSE)</f>
        <v>m2</v>
      </c>
      <c r="K119" s="11" t="s">
        <v>401</v>
      </c>
      <c r="L119" s="643">
        <f>SUM(L120:L127)</f>
        <v>370</v>
      </c>
    </row>
    <row r="120" spans="2:12" ht="15">
      <c r="B120" s="644"/>
      <c r="C120" s="16"/>
      <c r="D120" s="15"/>
      <c r="E120" s="15"/>
      <c r="F120" s="15"/>
      <c r="G120" s="15"/>
      <c r="H120" s="15"/>
      <c r="I120" s="15"/>
      <c r="J120" s="15"/>
      <c r="K120" s="17"/>
      <c r="L120" s="645"/>
    </row>
    <row r="121" spans="2:12" ht="47.25">
      <c r="B121" s="646" t="s">
        <v>402</v>
      </c>
      <c r="C121" s="18" t="s">
        <v>403</v>
      </c>
      <c r="D121" s="18" t="s">
        <v>404</v>
      </c>
      <c r="E121" s="18" t="s">
        <v>405</v>
      </c>
      <c r="F121" s="18" t="s">
        <v>406</v>
      </c>
      <c r="G121" s="18" t="s">
        <v>407</v>
      </c>
      <c r="H121" s="5" t="s">
        <v>408</v>
      </c>
      <c r="I121" s="18" t="s">
        <v>409</v>
      </c>
      <c r="J121" s="5" t="s">
        <v>410</v>
      </c>
      <c r="K121" s="5" t="s">
        <v>411</v>
      </c>
      <c r="L121" s="647" t="s">
        <v>412</v>
      </c>
    </row>
    <row r="122" spans="2:12" ht="15">
      <c r="B122" s="650" t="s">
        <v>594</v>
      </c>
      <c r="C122" s="20"/>
      <c r="D122" s="20"/>
      <c r="E122" s="20">
        <v>3</v>
      </c>
      <c r="F122" s="20">
        <v>10</v>
      </c>
      <c r="G122" s="20"/>
      <c r="H122" s="21"/>
      <c r="I122" s="17"/>
      <c r="J122" s="22">
        <v>2</v>
      </c>
      <c r="K122" s="17"/>
      <c r="L122" s="649">
        <f>PRODUCT(C122:K122)</f>
        <v>60</v>
      </c>
    </row>
    <row r="123" spans="2:12" ht="15">
      <c r="B123" s="650" t="s">
        <v>596</v>
      </c>
      <c r="C123" s="20">
        <v>180</v>
      </c>
      <c r="D123" s="20"/>
      <c r="E123" s="20"/>
      <c r="F123" s="20"/>
      <c r="G123" s="20"/>
      <c r="H123" s="20"/>
      <c r="I123" s="20"/>
      <c r="J123" s="24"/>
      <c r="K123" s="17"/>
      <c r="L123" s="649">
        <f>PRODUCT(C123:K123)</f>
        <v>180</v>
      </c>
    </row>
    <row r="124" spans="2:12" ht="15">
      <c r="B124" s="650" t="s">
        <v>592</v>
      </c>
      <c r="C124" s="20">
        <v>130</v>
      </c>
      <c r="D124" s="20"/>
      <c r="E124" s="20"/>
      <c r="F124" s="20"/>
      <c r="G124" s="20"/>
      <c r="H124" s="20"/>
      <c r="I124" s="20"/>
      <c r="J124" s="24"/>
      <c r="K124" s="17"/>
      <c r="L124" s="649">
        <f>PRODUCT(C124:K124)</f>
        <v>130</v>
      </c>
    </row>
    <row r="125" spans="2:12" ht="15">
      <c r="B125" s="650"/>
      <c r="C125" s="20"/>
      <c r="D125" s="20"/>
      <c r="E125" s="20"/>
      <c r="F125" s="20"/>
      <c r="G125" s="20"/>
      <c r="H125" s="19"/>
      <c r="I125" s="20"/>
      <c r="J125" s="24"/>
      <c r="K125" s="17"/>
      <c r="L125" s="645"/>
    </row>
    <row r="126" spans="2:12" ht="15">
      <c r="B126" s="650"/>
      <c r="C126" s="20"/>
      <c r="D126" s="20"/>
      <c r="E126" s="20"/>
      <c r="F126" s="20"/>
      <c r="G126" s="20"/>
      <c r="H126" s="19"/>
      <c r="I126" s="20"/>
      <c r="J126" s="24"/>
      <c r="K126" s="17"/>
      <c r="L126" s="645"/>
    </row>
    <row r="127" spans="2:12" ht="15.75">
      <c r="B127" s="1002" t="s">
        <v>414</v>
      </c>
      <c r="C127" s="1003"/>
      <c r="D127" s="1003"/>
      <c r="E127" s="1003"/>
      <c r="F127" s="1003"/>
      <c r="G127" s="1003"/>
      <c r="H127" s="1003"/>
      <c r="I127" s="1003"/>
      <c r="J127" s="1003"/>
      <c r="K127" s="1003"/>
      <c r="L127" s="1004"/>
    </row>
    <row r="128" spans="2:12">
      <c r="B128" s="651"/>
      <c r="L128" s="652"/>
    </row>
    <row r="129" spans="2:12" ht="15.75">
      <c r="B129" s="638" t="s">
        <v>413</v>
      </c>
      <c r="C129" s="8">
        <v>1.1000000000000001</v>
      </c>
      <c r="D129" s="9" t="s">
        <v>1026</v>
      </c>
      <c r="E129" s="9"/>
      <c r="F129" s="9"/>
      <c r="G129" s="9"/>
      <c r="H129" s="9"/>
      <c r="I129" s="9"/>
      <c r="J129" s="9"/>
      <c r="K129" s="10"/>
      <c r="L129" s="639"/>
    </row>
    <row r="130" spans="2:12" ht="15">
      <c r="B130" s="1005"/>
      <c r="C130" s="1006"/>
      <c r="D130" s="1006"/>
      <c r="E130" s="1006"/>
      <c r="F130" s="1006"/>
      <c r="G130" s="1006"/>
      <c r="H130" s="1006"/>
      <c r="I130" s="1006"/>
      <c r="J130" s="1006"/>
      <c r="K130" s="1006"/>
      <c r="L130" s="1007"/>
    </row>
    <row r="131" spans="2:12" ht="31.5">
      <c r="B131" s="653" t="s">
        <v>399</v>
      </c>
      <c r="C131" s="29" t="str">
        <f>+'PROPUESTA ECONOMICA(Proponente)'!C30</f>
        <v>1.10</v>
      </c>
      <c r="D131" s="12" t="str">
        <f>+VLOOKUP('MEMORIAS DE CANTIDADES'!C131,'PROPUESTA ECONOMICA(Proponente)'!$C$21:$H$310,5,FALSE)</f>
        <v>DESMONTE DE ESTRUCRURA DE CUBIERTA EXISTENTE</v>
      </c>
      <c r="E131" s="13"/>
      <c r="F131" s="12"/>
      <c r="G131" s="12"/>
      <c r="H131" s="12"/>
      <c r="I131" s="11" t="s">
        <v>400</v>
      </c>
      <c r="J131" s="12" t="str">
        <f>+VLOOKUP('MEMORIAS DE CANTIDADES'!C131,'PROPUESTA ECONOMICA(Proponente)'!$C$21:$H$310,6,FALSE)</f>
        <v>M</v>
      </c>
      <c r="K131" s="11" t="s">
        <v>401</v>
      </c>
      <c r="L131" s="643">
        <f>SUM(L132:L139)</f>
        <v>100</v>
      </c>
    </row>
    <row r="132" spans="2:12" ht="15">
      <c r="B132" s="644"/>
      <c r="C132" s="16"/>
      <c r="D132" s="15"/>
      <c r="E132" s="15"/>
      <c r="F132" s="15"/>
      <c r="G132" s="15"/>
      <c r="H132" s="15"/>
      <c r="I132" s="15"/>
      <c r="J132" s="15"/>
      <c r="K132" s="17"/>
      <c r="L132" s="645"/>
    </row>
    <row r="133" spans="2:12" ht="47.25">
      <c r="B133" s="646" t="s">
        <v>402</v>
      </c>
      <c r="C133" s="18" t="s">
        <v>403</v>
      </c>
      <c r="D133" s="18" t="s">
        <v>404</v>
      </c>
      <c r="E133" s="18" t="s">
        <v>405</v>
      </c>
      <c r="F133" s="18" t="s">
        <v>406</v>
      </c>
      <c r="G133" s="18" t="s">
        <v>407</v>
      </c>
      <c r="H133" s="5" t="s">
        <v>408</v>
      </c>
      <c r="I133" s="18" t="s">
        <v>409</v>
      </c>
      <c r="J133" s="5" t="s">
        <v>410</v>
      </c>
      <c r="K133" s="5" t="s">
        <v>411</v>
      </c>
      <c r="L133" s="647" t="s">
        <v>412</v>
      </c>
    </row>
    <row r="134" spans="2:12" ht="15">
      <c r="B134" s="650" t="s">
        <v>594</v>
      </c>
      <c r="C134" s="20"/>
      <c r="D134" s="20"/>
      <c r="E134" s="20"/>
      <c r="F134" s="20">
        <v>100</v>
      </c>
      <c r="G134" s="20"/>
      <c r="H134" s="21"/>
      <c r="I134" s="17"/>
      <c r="J134" s="22">
        <v>1</v>
      </c>
      <c r="K134" s="17"/>
      <c r="L134" s="649">
        <f>PRODUCT(C134:K134)</f>
        <v>100</v>
      </c>
    </row>
    <row r="135" spans="2:12" ht="15">
      <c r="B135" s="650" t="s">
        <v>596</v>
      </c>
      <c r="C135" s="20"/>
      <c r="D135" s="20"/>
      <c r="E135" s="20"/>
      <c r="F135" s="20"/>
      <c r="G135" s="20"/>
      <c r="H135" s="20"/>
      <c r="I135" s="20"/>
      <c r="J135" s="24"/>
      <c r="K135" s="17"/>
      <c r="L135" s="649">
        <f>PRODUCT(C135:K135)</f>
        <v>0</v>
      </c>
    </row>
    <row r="136" spans="2:12" ht="15">
      <c r="B136" s="650" t="s">
        <v>592</v>
      </c>
      <c r="C136" s="20"/>
      <c r="D136" s="20"/>
      <c r="E136" s="20"/>
      <c r="F136" s="20"/>
      <c r="G136" s="20"/>
      <c r="H136" s="20"/>
      <c r="I136" s="20"/>
      <c r="J136" s="24"/>
      <c r="K136" s="17"/>
      <c r="L136" s="649">
        <f>PRODUCT(C136:K136)</f>
        <v>0</v>
      </c>
    </row>
    <row r="137" spans="2:12" ht="15">
      <c r="B137" s="650"/>
      <c r="C137" s="20"/>
      <c r="D137" s="20"/>
      <c r="E137" s="20"/>
      <c r="F137" s="20"/>
      <c r="G137" s="20"/>
      <c r="H137" s="19"/>
      <c r="I137" s="20"/>
      <c r="J137" s="24"/>
      <c r="K137" s="17"/>
      <c r="L137" s="645"/>
    </row>
    <row r="138" spans="2:12" ht="15">
      <c r="B138" s="650"/>
      <c r="C138" s="20"/>
      <c r="D138" s="20"/>
      <c r="E138" s="20"/>
      <c r="F138" s="20"/>
      <c r="G138" s="20"/>
      <c r="H138" s="19"/>
      <c r="I138" s="20"/>
      <c r="J138" s="24"/>
      <c r="K138" s="17"/>
      <c r="L138" s="645"/>
    </row>
    <row r="139" spans="2:12" ht="15.75">
      <c r="B139" s="1002" t="s">
        <v>414</v>
      </c>
      <c r="C139" s="1003"/>
      <c r="D139" s="1003"/>
      <c r="E139" s="1003"/>
      <c r="F139" s="1003"/>
      <c r="G139" s="1003"/>
      <c r="H139" s="1003"/>
      <c r="I139" s="1003"/>
      <c r="J139" s="1003"/>
      <c r="K139" s="1003"/>
      <c r="L139" s="1004"/>
    </row>
    <row r="140" spans="2:12">
      <c r="B140" s="651"/>
      <c r="L140" s="652"/>
    </row>
    <row r="141" spans="2:12" ht="15.75">
      <c r="B141" s="638" t="s">
        <v>413</v>
      </c>
      <c r="C141" s="8">
        <v>1.1000000000000001</v>
      </c>
      <c r="D141" s="9" t="s">
        <v>1026</v>
      </c>
      <c r="E141" s="9"/>
      <c r="F141" s="9"/>
      <c r="G141" s="9"/>
      <c r="H141" s="9"/>
      <c r="I141" s="9"/>
      <c r="J141" s="9"/>
      <c r="K141" s="10"/>
      <c r="L141" s="639"/>
    </row>
    <row r="142" spans="2:12" ht="15">
      <c r="B142" s="1005"/>
      <c r="C142" s="1006"/>
      <c r="D142" s="1006"/>
      <c r="E142" s="1006"/>
      <c r="F142" s="1006"/>
      <c r="G142" s="1006"/>
      <c r="H142" s="1006"/>
      <c r="I142" s="1006"/>
      <c r="J142" s="1006"/>
      <c r="K142" s="1006"/>
      <c r="L142" s="1007"/>
    </row>
    <row r="143" spans="2:12" ht="31.5">
      <c r="B143" s="653" t="s">
        <v>399</v>
      </c>
      <c r="C143" s="29">
        <f>+'PROPUESTA ECONOMICA(Proponente)'!C31</f>
        <v>1.1100000000000001</v>
      </c>
      <c r="D143" s="12" t="str">
        <f>+VLOOKUP('MEMORIAS DE CANTIDADES'!C143,'PROPUESTA ECONOMICA(Proponente)'!$C$21:$H$310,5,FALSE)</f>
        <v>Desmonte de malla existente incluye corte de verticales</v>
      </c>
      <c r="E143" s="13"/>
      <c r="F143" s="12"/>
      <c r="G143" s="12"/>
      <c r="H143" s="12"/>
      <c r="I143" s="11" t="s">
        <v>400</v>
      </c>
      <c r="J143" s="12" t="str">
        <f>+VLOOKUP('MEMORIAS DE CANTIDADES'!C143,'PROPUESTA ECONOMICA(Proponente)'!$C$21:$H$310,6,FALSE)</f>
        <v>m2</v>
      </c>
      <c r="K143" s="11" t="s">
        <v>401</v>
      </c>
      <c r="L143" s="643">
        <f>SUM(L144:L151)</f>
        <v>1088</v>
      </c>
    </row>
    <row r="144" spans="2:12" ht="15">
      <c r="B144" s="644"/>
      <c r="C144" s="16"/>
      <c r="D144" s="15"/>
      <c r="E144" s="15"/>
      <c r="F144" s="15"/>
      <c r="G144" s="15"/>
      <c r="H144" s="15"/>
      <c r="I144" s="15"/>
      <c r="J144" s="15"/>
      <c r="K144" s="17"/>
      <c r="L144" s="645"/>
    </row>
    <row r="145" spans="2:12" ht="47.25">
      <c r="B145" s="646" t="s">
        <v>402</v>
      </c>
      <c r="C145" s="18" t="s">
        <v>403</v>
      </c>
      <c r="D145" s="18" t="s">
        <v>404</v>
      </c>
      <c r="E145" s="18" t="s">
        <v>405</v>
      </c>
      <c r="F145" s="18" t="s">
        <v>406</v>
      </c>
      <c r="G145" s="18" t="s">
        <v>407</v>
      </c>
      <c r="H145" s="5" t="s">
        <v>408</v>
      </c>
      <c r="I145" s="18" t="s">
        <v>409</v>
      </c>
      <c r="J145" s="5" t="s">
        <v>410</v>
      </c>
      <c r="K145" s="5" t="s">
        <v>411</v>
      </c>
      <c r="L145" s="647" t="s">
        <v>412</v>
      </c>
    </row>
    <row r="146" spans="2:12" ht="15">
      <c r="B146" s="650" t="s">
        <v>840</v>
      </c>
      <c r="C146" s="20"/>
      <c r="D146" s="20"/>
      <c r="E146" s="20">
        <v>2</v>
      </c>
      <c r="F146" s="20">
        <v>230</v>
      </c>
      <c r="G146" s="20"/>
      <c r="H146" s="21"/>
      <c r="I146" s="17"/>
      <c r="J146" s="22">
        <v>1</v>
      </c>
      <c r="K146" s="17"/>
      <c r="L146" s="649">
        <f>PRODUCT(C146:K146)</f>
        <v>460</v>
      </c>
    </row>
    <row r="147" spans="2:12" ht="15">
      <c r="B147" s="650" t="s">
        <v>840</v>
      </c>
      <c r="C147" s="20"/>
      <c r="D147" s="20"/>
      <c r="E147" s="20">
        <v>4</v>
      </c>
      <c r="F147" s="20">
        <v>30</v>
      </c>
      <c r="G147" s="20"/>
      <c r="H147" s="20"/>
      <c r="I147" s="20"/>
      <c r="J147" s="24"/>
      <c r="K147" s="17"/>
      <c r="L147" s="649">
        <f>PRODUCT(C147:K147)</f>
        <v>120</v>
      </c>
    </row>
    <row r="148" spans="2:12" ht="15">
      <c r="B148" s="650" t="s">
        <v>841</v>
      </c>
      <c r="C148" s="20"/>
      <c r="D148" s="20"/>
      <c r="E148" s="20">
        <v>4</v>
      </c>
      <c r="F148" s="20">
        <v>127</v>
      </c>
      <c r="G148" s="20"/>
      <c r="H148" s="20"/>
      <c r="I148" s="20"/>
      <c r="J148" s="24"/>
      <c r="K148" s="17"/>
      <c r="L148" s="649">
        <f>PRODUCT(C148:K148)</f>
        <v>508</v>
      </c>
    </row>
    <row r="149" spans="2:12" ht="15">
      <c r="B149" s="650"/>
      <c r="C149" s="20"/>
      <c r="D149" s="20"/>
      <c r="E149" s="20"/>
      <c r="F149" s="20"/>
      <c r="G149" s="20"/>
      <c r="H149" s="19"/>
      <c r="I149" s="20"/>
      <c r="J149" s="24"/>
      <c r="K149" s="17"/>
      <c r="L149" s="645"/>
    </row>
    <row r="150" spans="2:12" ht="15">
      <c r="B150" s="650"/>
      <c r="C150" s="20"/>
      <c r="D150" s="20"/>
      <c r="E150" s="20"/>
      <c r="F150" s="20"/>
      <c r="G150" s="20"/>
      <c r="H150" s="19"/>
      <c r="I150" s="20"/>
      <c r="J150" s="24"/>
      <c r="K150" s="17"/>
      <c r="L150" s="645"/>
    </row>
    <row r="151" spans="2:12" ht="15.75">
      <c r="B151" s="1002" t="s">
        <v>414</v>
      </c>
      <c r="C151" s="1003"/>
      <c r="D151" s="1003"/>
      <c r="E151" s="1003"/>
      <c r="F151" s="1003"/>
      <c r="G151" s="1003"/>
      <c r="H151" s="1003"/>
      <c r="I151" s="1003"/>
      <c r="J151" s="1003"/>
      <c r="K151" s="1003"/>
      <c r="L151" s="1004"/>
    </row>
    <row r="152" spans="2:12">
      <c r="B152" s="651"/>
      <c r="L152" s="652"/>
    </row>
    <row r="153" spans="2:12">
      <c r="B153" s="651"/>
      <c r="L153" s="652"/>
    </row>
    <row r="154" spans="2:12" ht="15.75">
      <c r="B154" s="638" t="s">
        <v>398</v>
      </c>
      <c r="C154" s="8">
        <v>2</v>
      </c>
      <c r="D154" s="1008" t="s">
        <v>1027</v>
      </c>
      <c r="E154" s="1009"/>
      <c r="F154" s="1009"/>
      <c r="G154" s="1009"/>
      <c r="H154" s="1009"/>
      <c r="I154" s="1009"/>
      <c r="J154" s="1009"/>
      <c r="K154" s="1009"/>
      <c r="L154" s="1010"/>
    </row>
    <row r="155" spans="2:12" ht="8.4499999999999993" customHeight="1">
      <c r="B155" s="1005"/>
      <c r="C155" s="1006"/>
      <c r="D155" s="1006"/>
      <c r="E155" s="1006"/>
      <c r="F155" s="1006"/>
      <c r="G155" s="1006"/>
      <c r="H155" s="1006"/>
      <c r="I155" s="1006"/>
      <c r="J155" s="1006"/>
      <c r="K155" s="1006"/>
      <c r="L155" s="1007"/>
    </row>
    <row r="156" spans="2:12" ht="31.5">
      <c r="B156" s="642" t="s">
        <v>399</v>
      </c>
      <c r="C156" s="11">
        <f>+'PROPUESTA ECONOMICA(Proponente)'!C34</f>
        <v>2.1</v>
      </c>
      <c r="D156" s="12" t="str">
        <f>+VLOOKUP('MEMORIAS DE CANTIDADES'!C156,'PROPUESTA ECONOMICA(Proponente)'!$C$21:$H$310,5,FALSE)</f>
        <v>Acero de Refuerzo 60000 PSI (incluye suministro, figurado y fijación)</v>
      </c>
      <c r="E156" s="13"/>
      <c r="F156" s="12"/>
      <c r="G156" s="12"/>
      <c r="H156" s="12"/>
      <c r="I156" s="11" t="s">
        <v>400</v>
      </c>
      <c r="J156" s="12" t="str">
        <f>+VLOOKUP('MEMORIAS DE CANTIDADES'!C156,'PROPUESTA ECONOMICA(Proponente)'!$C$21:$H$310,6,FALSE)</f>
        <v>KG</v>
      </c>
      <c r="K156" s="11" t="s">
        <v>401</v>
      </c>
      <c r="L156" s="657">
        <f>SUM(L157:L411)</f>
        <v>149693.0465022857</v>
      </c>
    </row>
    <row r="157" spans="2:12" ht="15">
      <c r="B157" s="644"/>
      <c r="C157" s="30" t="s">
        <v>38</v>
      </c>
      <c r="D157" s="30" t="s">
        <v>38</v>
      </c>
      <c r="E157" s="30" t="s">
        <v>38</v>
      </c>
      <c r="F157" s="30" t="s">
        <v>38</v>
      </c>
      <c r="G157" s="30" t="s">
        <v>38</v>
      </c>
      <c r="H157" s="30" t="s">
        <v>38</v>
      </c>
      <c r="I157" s="15"/>
      <c r="J157" s="15"/>
      <c r="K157" s="17"/>
      <c r="L157" s="645"/>
    </row>
    <row r="158" spans="2:12" ht="31.5">
      <c r="B158" s="646" t="s">
        <v>402</v>
      </c>
      <c r="C158" s="31" t="s">
        <v>422</v>
      </c>
      <c r="D158" s="31" t="s">
        <v>423</v>
      </c>
      <c r="E158" s="31" t="s">
        <v>424</v>
      </c>
      <c r="F158" s="31" t="s">
        <v>425</v>
      </c>
      <c r="G158" s="31" t="s">
        <v>426</v>
      </c>
      <c r="H158" s="32" t="s">
        <v>427</v>
      </c>
      <c r="I158" s="18" t="s">
        <v>409</v>
      </c>
      <c r="J158" s="5" t="s">
        <v>410</v>
      </c>
      <c r="K158" s="5" t="s">
        <v>411</v>
      </c>
      <c r="L158" s="647" t="s">
        <v>412</v>
      </c>
    </row>
    <row r="159" spans="2:12" ht="15.75">
      <c r="B159" s="658" t="s">
        <v>598</v>
      </c>
      <c r="C159" s="19"/>
      <c r="D159" s="583"/>
      <c r="E159" s="583"/>
      <c r="F159" s="583"/>
      <c r="G159" s="583"/>
      <c r="H159" s="21"/>
      <c r="I159" s="17"/>
      <c r="J159" s="22"/>
      <c r="K159" s="17"/>
      <c r="L159" s="649"/>
    </row>
    <row r="160" spans="2:12" ht="15">
      <c r="B160" s="659" t="s">
        <v>599</v>
      </c>
      <c r="C160" s="19"/>
      <c r="D160" s="20"/>
      <c r="E160" s="126">
        <f>2.75*30</f>
        <v>82.5</v>
      </c>
      <c r="F160" s="33"/>
      <c r="G160" s="20"/>
      <c r="H160" s="19"/>
      <c r="I160" s="154">
        <v>18</v>
      </c>
      <c r="J160" s="22"/>
      <c r="K160" s="17"/>
      <c r="L160" s="649">
        <f>(+SUM(C160:H160))*I160</f>
        <v>1485</v>
      </c>
    </row>
    <row r="161" spans="2:12" ht="15">
      <c r="B161" s="659" t="s">
        <v>600</v>
      </c>
      <c r="C161" s="19"/>
      <c r="D161" s="20"/>
      <c r="E161" s="126">
        <f>1.95*20</f>
        <v>39</v>
      </c>
      <c r="F161" s="33"/>
      <c r="G161" s="20"/>
      <c r="H161" s="19"/>
      <c r="I161" s="154">
        <v>18</v>
      </c>
      <c r="J161" s="22"/>
      <c r="K161" s="17"/>
      <c r="L161" s="649">
        <f>(+SUM(C161:H161))*I161</f>
        <v>702</v>
      </c>
    </row>
    <row r="162" spans="2:12" ht="15">
      <c r="B162" s="659" t="s">
        <v>601</v>
      </c>
      <c r="C162" s="19"/>
      <c r="D162" s="20"/>
      <c r="E162" s="126">
        <f>2.75*11+2*15</f>
        <v>60.25</v>
      </c>
      <c r="F162" s="33"/>
      <c r="G162" s="20"/>
      <c r="H162" s="19"/>
      <c r="I162" s="154">
        <v>18</v>
      </c>
      <c r="J162" s="22"/>
      <c r="K162" s="17"/>
      <c r="L162" s="649">
        <f>(+SUM(C162:H162))*I162</f>
        <v>1084.5</v>
      </c>
    </row>
    <row r="163" spans="2:12" ht="15.75">
      <c r="B163" s="658" t="s">
        <v>428</v>
      </c>
      <c r="C163" s="19"/>
      <c r="D163" s="583"/>
      <c r="E163" s="583"/>
      <c r="F163" s="583"/>
      <c r="G163" s="583"/>
      <c r="H163" s="20"/>
      <c r="I163" s="28"/>
      <c r="J163" s="22"/>
      <c r="K163" s="17"/>
      <c r="L163" s="649"/>
    </row>
    <row r="164" spans="2:12" ht="16.5">
      <c r="B164" s="660" t="s">
        <v>602</v>
      </c>
      <c r="C164" s="19"/>
      <c r="D164" s="42">
        <f>(24+24+6+5)*(1.88+0.55)*0.56</f>
        <v>80.287199999999999</v>
      </c>
      <c r="E164" s="42"/>
      <c r="F164" s="42">
        <f>8*6.8*1.552</f>
        <v>84.428799999999995</v>
      </c>
      <c r="G164" s="42">
        <f>8*6.8*2.235</f>
        <v>121.58399999999999</v>
      </c>
      <c r="H164" s="20"/>
      <c r="I164" s="28">
        <v>18</v>
      </c>
      <c r="J164" s="22"/>
      <c r="K164" s="17"/>
      <c r="L164" s="649">
        <f t="shared" ref="L164:L224" si="1">(+SUM(C164:H164))*I164</f>
        <v>5153.4000000000005</v>
      </c>
    </row>
    <row r="165" spans="2:12" ht="16.5">
      <c r="B165" s="660" t="s">
        <v>603</v>
      </c>
      <c r="C165" s="19"/>
      <c r="D165" s="42">
        <f>+(24+11+6)*1.48*0.56+(24+11+6)*0.45*0.56</f>
        <v>44.312800000000003</v>
      </c>
      <c r="E165" s="49"/>
      <c r="F165" s="42">
        <f>4*5.4*1.552</f>
        <v>33.523200000000003</v>
      </c>
      <c r="G165" s="42">
        <f>4*5.4*2.235</f>
        <v>48.276000000000003</v>
      </c>
      <c r="H165" s="20"/>
      <c r="I165" s="28">
        <v>18</v>
      </c>
      <c r="J165" s="22"/>
      <c r="K165" s="17"/>
      <c r="L165" s="649">
        <f t="shared" si="1"/>
        <v>2270.0160000000005</v>
      </c>
    </row>
    <row r="166" spans="2:12" ht="16.5">
      <c r="B166" s="661" t="s">
        <v>604</v>
      </c>
      <c r="C166" s="455"/>
      <c r="D166" s="42">
        <f>31*1.48*0.56+31*0.45*0.56</f>
        <v>33.504800000000003</v>
      </c>
      <c r="E166" s="49"/>
      <c r="F166" s="42">
        <f>4*3.8*1.552</f>
        <v>23.590399999999999</v>
      </c>
      <c r="G166" s="42">
        <f>4*3.8*2.235</f>
        <v>33.971999999999994</v>
      </c>
      <c r="H166" s="583"/>
      <c r="I166" s="584">
        <v>18</v>
      </c>
      <c r="J166" s="398"/>
      <c r="K166" s="399"/>
      <c r="L166" s="649">
        <f t="shared" si="1"/>
        <v>1639.2095999999999</v>
      </c>
    </row>
    <row r="167" spans="2:12" ht="15.75">
      <c r="B167" s="658" t="s">
        <v>605</v>
      </c>
      <c r="C167" s="19"/>
      <c r="D167" s="20"/>
      <c r="E167" s="20"/>
      <c r="F167" s="20"/>
      <c r="G167" s="20"/>
      <c r="H167" s="20"/>
      <c r="I167" s="28"/>
      <c r="J167" s="22"/>
      <c r="K167" s="17"/>
      <c r="L167" s="649"/>
    </row>
    <row r="168" spans="2:12" ht="15">
      <c r="B168" s="662" t="s">
        <v>606</v>
      </c>
      <c r="C168" s="19"/>
      <c r="D168" s="34">
        <v>2.2999999999999998</v>
      </c>
      <c r="E168" s="34" t="s">
        <v>429</v>
      </c>
      <c r="F168" s="34">
        <v>10.199999999999999</v>
      </c>
      <c r="G168" s="20"/>
      <c r="H168" s="20"/>
      <c r="I168" s="35">
        <v>6</v>
      </c>
      <c r="J168" s="22"/>
      <c r="K168" s="17"/>
      <c r="L168" s="649">
        <f t="shared" si="1"/>
        <v>75</v>
      </c>
    </row>
    <row r="169" spans="2:12" ht="15">
      <c r="B169" s="662" t="s">
        <v>607</v>
      </c>
      <c r="C169" s="19"/>
      <c r="D169" s="34">
        <v>6.4</v>
      </c>
      <c r="E169" s="34" t="s">
        <v>429</v>
      </c>
      <c r="F169" s="34">
        <v>16.600000000000001</v>
      </c>
      <c r="G169" s="20"/>
      <c r="H169" s="20"/>
      <c r="I169" s="35">
        <v>1</v>
      </c>
      <c r="J169" s="22"/>
      <c r="K169" s="17"/>
      <c r="L169" s="649">
        <f t="shared" si="1"/>
        <v>23</v>
      </c>
    </row>
    <row r="170" spans="2:12" ht="15">
      <c r="B170" s="662" t="s">
        <v>608</v>
      </c>
      <c r="C170" s="19"/>
      <c r="D170" s="34">
        <v>3.5</v>
      </c>
      <c r="E170" s="34" t="s">
        <v>429</v>
      </c>
      <c r="F170" s="34">
        <v>12.4</v>
      </c>
      <c r="G170" s="20"/>
      <c r="H170" s="20"/>
      <c r="I170" s="35">
        <v>3</v>
      </c>
      <c r="J170" s="22"/>
      <c r="K170" s="17"/>
      <c r="L170" s="649">
        <f t="shared" si="1"/>
        <v>47.7</v>
      </c>
    </row>
    <row r="171" spans="2:12" ht="15">
      <c r="B171" s="662" t="s">
        <v>609</v>
      </c>
      <c r="C171" s="19"/>
      <c r="D171" s="34">
        <v>5.8</v>
      </c>
      <c r="E171" s="34" t="s">
        <v>429</v>
      </c>
      <c r="F171" s="34">
        <v>15.6</v>
      </c>
      <c r="G171" s="20"/>
      <c r="H171" s="20"/>
      <c r="I171" s="35">
        <v>1</v>
      </c>
      <c r="J171" s="22"/>
      <c r="K171" s="17"/>
      <c r="L171" s="649">
        <f t="shared" si="1"/>
        <v>21.4</v>
      </c>
    </row>
    <row r="172" spans="2:12" ht="15">
      <c r="B172" s="662" t="s">
        <v>610</v>
      </c>
      <c r="C172" s="19"/>
      <c r="D172" s="34">
        <v>2.9</v>
      </c>
      <c r="E172" s="34" t="s">
        <v>429</v>
      </c>
      <c r="F172" s="34">
        <v>11.4</v>
      </c>
      <c r="G172" s="20"/>
      <c r="H172" s="20"/>
      <c r="I172" s="35">
        <v>1</v>
      </c>
      <c r="J172" s="22"/>
      <c r="K172" s="17"/>
      <c r="L172" s="649">
        <f t="shared" si="1"/>
        <v>14.3</v>
      </c>
    </row>
    <row r="173" spans="2:12" ht="15">
      <c r="B173" s="662" t="s">
        <v>611</v>
      </c>
      <c r="C173" s="19"/>
      <c r="D173" s="34">
        <v>183.2</v>
      </c>
      <c r="E173" s="34">
        <v>203.4</v>
      </c>
      <c r="F173" s="34">
        <v>160.19999999999999</v>
      </c>
      <c r="G173" s="20"/>
      <c r="H173" s="20"/>
      <c r="I173" s="35">
        <v>3</v>
      </c>
      <c r="J173" s="22"/>
      <c r="K173" s="17"/>
      <c r="L173" s="649">
        <f t="shared" si="1"/>
        <v>1640.3999999999999</v>
      </c>
    </row>
    <row r="174" spans="2:12" ht="15">
      <c r="B174" s="662" t="s">
        <v>612</v>
      </c>
      <c r="C174" s="19"/>
      <c r="D174" s="34">
        <v>7.6</v>
      </c>
      <c r="E174" s="34" t="s">
        <v>429</v>
      </c>
      <c r="F174" s="34">
        <v>19.2</v>
      </c>
      <c r="G174" s="20"/>
      <c r="H174" s="20"/>
      <c r="I174" s="35">
        <v>1</v>
      </c>
      <c r="J174" s="22"/>
      <c r="K174" s="17"/>
      <c r="L174" s="649">
        <f t="shared" si="1"/>
        <v>26.799999999999997</v>
      </c>
    </row>
    <row r="175" spans="2:12" ht="15">
      <c r="B175" s="662" t="s">
        <v>613</v>
      </c>
      <c r="C175" s="19"/>
      <c r="D175" s="34">
        <v>27.9</v>
      </c>
      <c r="E175" s="34" t="s">
        <v>429</v>
      </c>
      <c r="F175" s="34">
        <v>59.4</v>
      </c>
      <c r="G175" s="20"/>
      <c r="H175" s="20"/>
      <c r="I175" s="35">
        <v>6</v>
      </c>
      <c r="J175" s="22"/>
      <c r="K175" s="17"/>
      <c r="L175" s="649">
        <f t="shared" si="1"/>
        <v>523.79999999999995</v>
      </c>
    </row>
    <row r="176" spans="2:12" ht="15">
      <c r="B176" s="662" t="s">
        <v>614</v>
      </c>
      <c r="C176" s="19"/>
      <c r="D176" s="34">
        <v>12.2</v>
      </c>
      <c r="E176" s="34" t="s">
        <v>429</v>
      </c>
      <c r="F176" s="34">
        <v>26</v>
      </c>
      <c r="G176" s="20"/>
      <c r="H176" s="20"/>
      <c r="I176" s="35">
        <v>6</v>
      </c>
      <c r="J176" s="22"/>
      <c r="K176" s="17"/>
      <c r="L176" s="649">
        <f t="shared" si="1"/>
        <v>229.20000000000002</v>
      </c>
    </row>
    <row r="177" spans="2:12" ht="15">
      <c r="B177" s="662" t="s">
        <v>615</v>
      </c>
      <c r="C177" s="19"/>
      <c r="D177" s="34">
        <v>15.1</v>
      </c>
      <c r="E177" s="34" t="s">
        <v>429</v>
      </c>
      <c r="F177" s="34">
        <v>33.200000000000003</v>
      </c>
      <c r="G177" s="20"/>
      <c r="H177" s="20"/>
      <c r="I177" s="35">
        <v>6</v>
      </c>
      <c r="J177" s="22"/>
      <c r="K177" s="17"/>
      <c r="L177" s="649">
        <f t="shared" si="1"/>
        <v>289.8</v>
      </c>
    </row>
    <row r="178" spans="2:12" ht="15">
      <c r="B178" s="662" t="s">
        <v>616</v>
      </c>
      <c r="C178" s="19"/>
      <c r="D178" s="34">
        <v>22.7</v>
      </c>
      <c r="E178" s="34" t="s">
        <v>429</v>
      </c>
      <c r="F178" s="34">
        <v>53.4</v>
      </c>
      <c r="G178" s="20"/>
      <c r="H178" s="20"/>
      <c r="I178" s="35">
        <v>4</v>
      </c>
      <c r="J178" s="22"/>
      <c r="K178" s="17"/>
      <c r="L178" s="649">
        <f t="shared" si="1"/>
        <v>304.39999999999998</v>
      </c>
    </row>
    <row r="179" spans="2:12" ht="15">
      <c r="B179" s="662" t="s">
        <v>617</v>
      </c>
      <c r="C179" s="19"/>
      <c r="D179" s="34">
        <v>7.6</v>
      </c>
      <c r="E179" s="34" t="s">
        <v>429</v>
      </c>
      <c r="F179" s="34">
        <v>19.8</v>
      </c>
      <c r="G179" s="20"/>
      <c r="H179" s="20"/>
      <c r="I179" s="35">
        <v>1</v>
      </c>
      <c r="J179" s="22"/>
      <c r="K179" s="17"/>
      <c r="L179" s="649">
        <f t="shared" si="1"/>
        <v>27.4</v>
      </c>
    </row>
    <row r="180" spans="2:12" ht="15">
      <c r="B180" s="662" t="s">
        <v>618</v>
      </c>
      <c r="C180" s="19"/>
      <c r="D180" s="34">
        <v>184.6</v>
      </c>
      <c r="E180" s="34">
        <v>203.4</v>
      </c>
      <c r="F180" s="34">
        <v>160.19999999999999</v>
      </c>
      <c r="G180" s="20"/>
      <c r="H180" s="20"/>
      <c r="I180" s="35">
        <v>3</v>
      </c>
      <c r="J180" s="22"/>
      <c r="K180" s="17"/>
      <c r="L180" s="649">
        <f t="shared" si="1"/>
        <v>1644.6000000000001</v>
      </c>
    </row>
    <row r="181" spans="2:12" ht="15">
      <c r="B181" s="662" t="s">
        <v>619</v>
      </c>
      <c r="C181" s="19"/>
      <c r="D181" s="34">
        <v>7.6</v>
      </c>
      <c r="E181" s="34" t="s">
        <v>429</v>
      </c>
      <c r="F181" s="34">
        <v>19.2</v>
      </c>
      <c r="G181" s="20"/>
      <c r="H181" s="20"/>
      <c r="I181" s="35">
        <v>1</v>
      </c>
      <c r="J181" s="22"/>
      <c r="K181" s="17"/>
      <c r="L181" s="649">
        <f t="shared" si="1"/>
        <v>26.799999999999997</v>
      </c>
    </row>
    <row r="182" spans="2:12" ht="15">
      <c r="B182" s="662" t="s">
        <v>620</v>
      </c>
      <c r="C182" s="19"/>
      <c r="D182" s="34">
        <v>27.9</v>
      </c>
      <c r="E182" s="34" t="s">
        <v>429</v>
      </c>
      <c r="F182" s="34">
        <v>59.4</v>
      </c>
      <c r="G182" s="20"/>
      <c r="H182" s="20"/>
      <c r="I182" s="35">
        <v>5</v>
      </c>
      <c r="J182" s="22"/>
      <c r="K182" s="17"/>
      <c r="L182" s="649">
        <f t="shared" si="1"/>
        <v>436.5</v>
      </c>
    </row>
    <row r="183" spans="2:12" ht="15">
      <c r="B183" s="662" t="s">
        <v>621</v>
      </c>
      <c r="C183" s="19"/>
      <c r="D183" s="34">
        <v>11.7</v>
      </c>
      <c r="E183" s="34" t="s">
        <v>429</v>
      </c>
      <c r="F183" s="34">
        <v>25.8</v>
      </c>
      <c r="G183" s="20"/>
      <c r="H183" s="20"/>
      <c r="I183" s="35">
        <v>7</v>
      </c>
      <c r="J183" s="22"/>
      <c r="K183" s="17"/>
      <c r="L183" s="649">
        <f t="shared" si="1"/>
        <v>262.5</v>
      </c>
    </row>
    <row r="184" spans="2:12" ht="15">
      <c r="B184" s="662" t="s">
        <v>622</v>
      </c>
      <c r="C184" s="19"/>
      <c r="D184" s="34">
        <v>22.7</v>
      </c>
      <c r="E184" s="34" t="s">
        <v>429</v>
      </c>
      <c r="F184" s="34">
        <v>53.4</v>
      </c>
      <c r="G184" s="20"/>
      <c r="H184" s="20"/>
      <c r="I184" s="35">
        <v>5</v>
      </c>
      <c r="J184" s="22"/>
      <c r="K184" s="17"/>
      <c r="L184" s="649">
        <f t="shared" si="1"/>
        <v>380.5</v>
      </c>
    </row>
    <row r="185" spans="2:12" ht="15">
      <c r="B185" s="662" t="s">
        <v>623</v>
      </c>
      <c r="C185" s="19"/>
      <c r="D185" s="34">
        <v>15.1</v>
      </c>
      <c r="E185" s="34" t="s">
        <v>429</v>
      </c>
      <c r="F185" s="34">
        <v>33.6</v>
      </c>
      <c r="G185" s="20"/>
      <c r="H185" s="20"/>
      <c r="I185" s="35">
        <v>4</v>
      </c>
      <c r="J185" s="22"/>
      <c r="K185" s="17"/>
      <c r="L185" s="649">
        <f t="shared" si="1"/>
        <v>194.8</v>
      </c>
    </row>
    <row r="186" spans="2:12" ht="15">
      <c r="B186" s="662" t="s">
        <v>624</v>
      </c>
      <c r="C186" s="19"/>
      <c r="D186" s="34">
        <v>7.6</v>
      </c>
      <c r="E186" s="35" t="s">
        <v>429</v>
      </c>
      <c r="F186" s="34">
        <v>19.8</v>
      </c>
      <c r="G186" s="20"/>
      <c r="H186" s="20"/>
      <c r="I186" s="35">
        <v>1</v>
      </c>
      <c r="J186" s="22"/>
      <c r="K186" s="17"/>
      <c r="L186" s="649">
        <f t="shared" si="1"/>
        <v>27.4</v>
      </c>
    </row>
    <row r="187" spans="2:12" ht="15">
      <c r="B187" s="660"/>
      <c r="C187" s="19"/>
      <c r="D187" s="34"/>
      <c r="E187" s="35"/>
      <c r="F187" s="34"/>
      <c r="G187" s="20"/>
      <c r="H187" s="20"/>
      <c r="I187" s="35"/>
      <c r="J187" s="22"/>
      <c r="K187" s="17"/>
      <c r="L187" s="649"/>
    </row>
    <row r="188" spans="2:12" ht="15.75">
      <c r="B188" s="663" t="s">
        <v>430</v>
      </c>
      <c r="C188" s="664"/>
      <c r="D188" s="665"/>
      <c r="E188" s="665"/>
      <c r="F188" s="665"/>
      <c r="G188" s="665"/>
      <c r="H188" s="665"/>
      <c r="I188" s="666"/>
      <c r="J188" s="667"/>
      <c r="K188" s="668"/>
      <c r="L188" s="669"/>
    </row>
    <row r="189" spans="2:12" ht="16.5">
      <c r="B189" s="670" t="s">
        <v>625</v>
      </c>
      <c r="C189" s="42"/>
      <c r="D189" s="42">
        <v>155.81440000000001</v>
      </c>
      <c r="E189" s="42">
        <v>3</v>
      </c>
      <c r="F189" s="49"/>
      <c r="G189" s="49">
        <v>450.12899999999996</v>
      </c>
      <c r="H189" s="671"/>
      <c r="I189" s="35">
        <v>1</v>
      </c>
      <c r="J189" s="22"/>
      <c r="K189" s="17"/>
      <c r="L189" s="649">
        <f t="shared" si="1"/>
        <v>608.9434</v>
      </c>
    </row>
    <row r="190" spans="2:12" ht="16.5">
      <c r="B190" s="670" t="s">
        <v>626</v>
      </c>
      <c r="C190" s="42"/>
      <c r="D190" s="42">
        <v>165.45760000000004</v>
      </c>
      <c r="E190" s="42"/>
      <c r="F190" s="49"/>
      <c r="G190" s="49">
        <v>460.85699999999997</v>
      </c>
      <c r="H190" s="133" t="str">
        <f>+"7/8"</f>
        <v>7/8</v>
      </c>
      <c r="I190" s="35">
        <v>2</v>
      </c>
      <c r="J190" s="22"/>
      <c r="K190" s="17"/>
      <c r="L190" s="649">
        <f t="shared" si="1"/>
        <v>1252.6292000000001</v>
      </c>
    </row>
    <row r="191" spans="2:12" ht="16.5">
      <c r="B191" s="670" t="s">
        <v>627</v>
      </c>
      <c r="C191" s="42"/>
      <c r="D191" s="42">
        <f>+(22+24+11)*1.68*0.56</f>
        <v>53.625599999999999</v>
      </c>
      <c r="E191" s="42"/>
      <c r="F191" s="49">
        <f>+(5.3+4.5)*1.552</f>
        <v>15.209600000000002</v>
      </c>
      <c r="G191" s="49">
        <f>+(5.3*2+4.5*2)*2.235</f>
        <v>43.805999999999997</v>
      </c>
      <c r="H191" s="671">
        <v>73.16</v>
      </c>
      <c r="I191" s="35">
        <v>4</v>
      </c>
      <c r="J191" s="22"/>
      <c r="K191" s="17"/>
      <c r="L191" s="649">
        <f t="shared" si="1"/>
        <v>743.20479999999998</v>
      </c>
    </row>
    <row r="192" spans="2:12" ht="16.5">
      <c r="B192" s="670" t="s">
        <v>628</v>
      </c>
      <c r="C192" s="42"/>
      <c r="D192" s="42">
        <v>23.206400000000002</v>
      </c>
      <c r="E192" s="42"/>
      <c r="F192" s="49"/>
      <c r="G192" s="49">
        <v>78.224999999999994</v>
      </c>
      <c r="H192" s="671"/>
      <c r="I192" s="35">
        <v>12</v>
      </c>
      <c r="J192" s="22"/>
      <c r="K192" s="17"/>
      <c r="L192" s="649">
        <f t="shared" si="1"/>
        <v>1217.1768</v>
      </c>
    </row>
    <row r="193" spans="2:12" ht="16.5">
      <c r="B193" s="670" t="s">
        <v>629</v>
      </c>
      <c r="C193" s="42"/>
      <c r="D193" s="42">
        <f>+(22+24+11+4)*1.68*0.56</f>
        <v>57.388799999999996</v>
      </c>
      <c r="E193" s="42"/>
      <c r="F193" s="49">
        <f>+(5.3+5.4)*1.552</f>
        <v>16.606400000000001</v>
      </c>
      <c r="G193" s="49">
        <f>+(2*5.3+2*5.4)*2.235</f>
        <v>47.828999999999994</v>
      </c>
      <c r="H193" s="671">
        <v>78.12</v>
      </c>
      <c r="I193" s="35">
        <v>14</v>
      </c>
      <c r="J193" s="22"/>
      <c r="K193" s="17"/>
      <c r="L193" s="649">
        <f t="shared" si="1"/>
        <v>2799.2188000000001</v>
      </c>
    </row>
    <row r="194" spans="2:12" ht="16.5">
      <c r="B194" s="670" t="s">
        <v>630</v>
      </c>
      <c r="C194" s="42"/>
      <c r="D194" s="42">
        <v>19.891200000000001</v>
      </c>
      <c r="E194" s="42">
        <v>30.7</v>
      </c>
      <c r="F194" s="49">
        <v>23.8232</v>
      </c>
      <c r="G194" s="49"/>
      <c r="H194" s="671"/>
      <c r="I194" s="35">
        <v>2</v>
      </c>
      <c r="J194" s="22"/>
      <c r="K194" s="17"/>
      <c r="L194" s="649">
        <f t="shared" si="1"/>
        <v>148.8288</v>
      </c>
    </row>
    <row r="195" spans="2:12" ht="16.5">
      <c r="B195" s="670" t="s">
        <v>631</v>
      </c>
      <c r="C195" s="42"/>
      <c r="D195" s="42">
        <v>157.47200000000001</v>
      </c>
      <c r="E195" s="42">
        <v>6</v>
      </c>
      <c r="F195" s="49"/>
      <c r="G195" s="49">
        <v>474.49049999999994</v>
      </c>
      <c r="H195" s="671"/>
      <c r="I195" s="35">
        <v>1</v>
      </c>
      <c r="J195" s="22"/>
      <c r="K195" s="17"/>
      <c r="L195" s="649">
        <f t="shared" si="1"/>
        <v>637.96249999999998</v>
      </c>
    </row>
    <row r="196" spans="2:12" ht="16.5">
      <c r="B196" s="670" t="s">
        <v>632</v>
      </c>
      <c r="C196" s="42"/>
      <c r="D196" s="42">
        <v>166.34240000000003</v>
      </c>
      <c r="E196" s="42"/>
      <c r="F196" s="49"/>
      <c r="G196" s="49">
        <v>460.85699999999997</v>
      </c>
      <c r="H196" s="671"/>
      <c r="I196" s="35">
        <v>2</v>
      </c>
      <c r="J196" s="22"/>
      <c r="K196" s="17"/>
      <c r="L196" s="649">
        <f t="shared" si="1"/>
        <v>1254.3987999999999</v>
      </c>
    </row>
    <row r="197" spans="2:12" ht="16.5">
      <c r="B197" s="670" t="s">
        <v>633</v>
      </c>
      <c r="C197" s="42"/>
      <c r="D197" s="42">
        <v>17.259200000000003</v>
      </c>
      <c r="E197" s="42">
        <v>30</v>
      </c>
      <c r="F197" s="49"/>
      <c r="G197" s="49"/>
      <c r="H197" s="671"/>
      <c r="I197" s="35">
        <v>1</v>
      </c>
      <c r="J197" s="22"/>
      <c r="K197" s="17"/>
      <c r="L197" s="649">
        <f t="shared" si="1"/>
        <v>47.259200000000007</v>
      </c>
    </row>
    <row r="198" spans="2:12" ht="16.5">
      <c r="B198" s="670" t="s">
        <v>634</v>
      </c>
      <c r="C198" s="42"/>
      <c r="D198" s="42">
        <v>26.264000000000006</v>
      </c>
      <c r="E198" s="42">
        <v>42.8</v>
      </c>
      <c r="F198" s="49"/>
      <c r="G198" s="49"/>
      <c r="H198" s="671"/>
      <c r="I198" s="35">
        <v>1</v>
      </c>
      <c r="J198" s="22"/>
      <c r="K198" s="17"/>
      <c r="L198" s="649">
        <f t="shared" si="1"/>
        <v>69.064000000000007</v>
      </c>
    </row>
    <row r="199" spans="2:12" ht="16.5">
      <c r="B199" s="670" t="s">
        <v>431</v>
      </c>
      <c r="C199" s="42"/>
      <c r="D199" s="42">
        <v>24.763200000000005</v>
      </c>
      <c r="E199" s="42">
        <v>42.25</v>
      </c>
      <c r="F199" s="49"/>
      <c r="G199" s="49"/>
      <c r="H199" s="671"/>
      <c r="I199" s="35">
        <v>1</v>
      </c>
      <c r="J199" s="22"/>
      <c r="K199" s="17"/>
      <c r="L199" s="649">
        <f t="shared" si="1"/>
        <v>67.013200000000012</v>
      </c>
    </row>
    <row r="200" spans="2:12" ht="16.5">
      <c r="B200" s="670" t="s">
        <v>432</v>
      </c>
      <c r="C200" s="42"/>
      <c r="D200" s="42">
        <v>25.513600000000004</v>
      </c>
      <c r="E200" s="42">
        <v>45.5</v>
      </c>
      <c r="F200" s="49"/>
      <c r="G200" s="49"/>
      <c r="H200" s="671"/>
      <c r="I200" s="35">
        <v>1</v>
      </c>
      <c r="J200" s="22"/>
      <c r="K200" s="17"/>
      <c r="L200" s="649">
        <f t="shared" si="1"/>
        <v>71.013599999999997</v>
      </c>
    </row>
    <row r="201" spans="2:12" ht="16.5">
      <c r="B201" s="670" t="s">
        <v>635</v>
      </c>
      <c r="C201" s="42"/>
      <c r="D201" s="42">
        <v>12.006400000000001</v>
      </c>
      <c r="E201" s="42">
        <v>21.049999999999997</v>
      </c>
      <c r="F201" s="49"/>
      <c r="G201" s="49"/>
      <c r="H201" s="671"/>
      <c r="I201" s="35">
        <v>1</v>
      </c>
      <c r="J201" s="22"/>
      <c r="K201" s="17"/>
      <c r="L201" s="649">
        <f t="shared" si="1"/>
        <v>33.056399999999996</v>
      </c>
    </row>
    <row r="202" spans="2:12" ht="16.5">
      <c r="B202" s="670" t="s">
        <v>636</v>
      </c>
      <c r="C202" s="42"/>
      <c r="D202" s="42">
        <v>13.507200000000001</v>
      </c>
      <c r="E202" s="42"/>
      <c r="F202" s="49">
        <v>47.335999999999999</v>
      </c>
      <c r="G202" s="49"/>
      <c r="H202" s="671"/>
      <c r="I202" s="35">
        <v>6</v>
      </c>
      <c r="J202" s="22"/>
      <c r="K202" s="17"/>
      <c r="L202" s="649">
        <f t="shared" si="1"/>
        <v>365.05919999999998</v>
      </c>
    </row>
    <row r="203" spans="2:12" ht="16.5">
      <c r="B203" s="670" t="s">
        <v>637</v>
      </c>
      <c r="C203" s="42"/>
      <c r="D203" s="42">
        <v>21.011200000000002</v>
      </c>
      <c r="E203" s="42"/>
      <c r="F203" s="49">
        <v>72.555999999999997</v>
      </c>
      <c r="G203" s="49"/>
      <c r="H203" s="671"/>
      <c r="I203" s="35">
        <v>6</v>
      </c>
      <c r="J203" s="22"/>
      <c r="K203" s="17"/>
      <c r="L203" s="649">
        <f t="shared" si="1"/>
        <v>561.40319999999997</v>
      </c>
    </row>
    <row r="204" spans="2:12" ht="16.5">
      <c r="B204" s="670" t="s">
        <v>638</v>
      </c>
      <c r="C204" s="42"/>
      <c r="D204" s="42">
        <v>20.260800000000003</v>
      </c>
      <c r="E204" s="42"/>
      <c r="F204" s="49">
        <v>72.323199999999986</v>
      </c>
      <c r="G204" s="49"/>
      <c r="H204" s="671"/>
      <c r="I204" s="35">
        <v>6</v>
      </c>
      <c r="J204" s="22"/>
      <c r="K204" s="17"/>
      <c r="L204" s="649">
        <f t="shared" si="1"/>
        <v>555.50399999999991</v>
      </c>
    </row>
    <row r="205" spans="2:12" ht="16.5">
      <c r="B205" s="670" t="s">
        <v>639</v>
      </c>
      <c r="C205" s="42"/>
      <c r="D205" s="42">
        <v>20.260800000000003</v>
      </c>
      <c r="E205" s="42"/>
      <c r="F205" s="49">
        <v>66.73599999999999</v>
      </c>
      <c r="G205" s="49"/>
      <c r="H205" s="671"/>
      <c r="I205" s="35">
        <v>6</v>
      </c>
      <c r="J205" s="22"/>
      <c r="K205" s="17"/>
      <c r="L205" s="649">
        <f t="shared" si="1"/>
        <v>521.98079999999993</v>
      </c>
    </row>
    <row r="206" spans="2:12" ht="16.5">
      <c r="B206" s="670" t="s">
        <v>640</v>
      </c>
      <c r="C206" s="42"/>
      <c r="D206" s="42">
        <v>21.011200000000002</v>
      </c>
      <c r="E206" s="42"/>
      <c r="F206" s="49">
        <v>66.73599999999999</v>
      </c>
      <c r="G206" s="49"/>
      <c r="H206" s="671"/>
      <c r="I206" s="35">
        <v>6</v>
      </c>
      <c r="J206" s="22"/>
      <c r="K206" s="17"/>
      <c r="L206" s="649">
        <f t="shared" si="1"/>
        <v>526.4831999999999</v>
      </c>
    </row>
    <row r="207" spans="2:12" ht="16.5">
      <c r="B207" s="670" t="s">
        <v>641</v>
      </c>
      <c r="C207" s="42"/>
      <c r="D207" s="42">
        <v>9.0272000000000006</v>
      </c>
      <c r="E207" s="42"/>
      <c r="F207" s="49"/>
      <c r="G207" s="49"/>
      <c r="H207" s="671"/>
      <c r="I207" s="35">
        <v>3</v>
      </c>
      <c r="J207" s="22"/>
      <c r="K207" s="17"/>
      <c r="L207" s="649">
        <f t="shared" si="1"/>
        <v>27.081600000000002</v>
      </c>
    </row>
    <row r="208" spans="2:12" ht="16.5">
      <c r="B208" s="670" t="s">
        <v>642</v>
      </c>
      <c r="C208" s="42"/>
      <c r="D208" s="42">
        <v>11.256000000000002</v>
      </c>
      <c r="E208" s="42">
        <v>22.25</v>
      </c>
      <c r="F208" s="49"/>
      <c r="G208" s="49"/>
      <c r="H208" s="671"/>
      <c r="I208" s="35">
        <v>1</v>
      </c>
      <c r="J208" s="22"/>
      <c r="K208" s="17"/>
      <c r="L208" s="649">
        <f t="shared" si="1"/>
        <v>33.506</v>
      </c>
    </row>
    <row r="209" spans="2:12" ht="16.5">
      <c r="B209" s="670" t="s">
        <v>643</v>
      </c>
      <c r="C209" s="42"/>
      <c r="D209" s="42">
        <v>24.763200000000005</v>
      </c>
      <c r="E209" s="42">
        <v>42.75</v>
      </c>
      <c r="F209" s="49"/>
      <c r="G209" s="49"/>
      <c r="H209" s="671"/>
      <c r="I209" s="35">
        <v>1</v>
      </c>
      <c r="J209" s="22"/>
      <c r="K209" s="17"/>
      <c r="L209" s="649">
        <f t="shared" si="1"/>
        <v>67.513200000000012</v>
      </c>
    </row>
    <row r="210" spans="2:12" ht="16.5">
      <c r="B210" s="670" t="s">
        <v>644</v>
      </c>
      <c r="C210" s="42"/>
      <c r="D210" s="42">
        <v>25.513600000000004</v>
      </c>
      <c r="E210" s="42">
        <v>42.75</v>
      </c>
      <c r="F210" s="49"/>
      <c r="G210" s="49"/>
      <c r="H210" s="671"/>
      <c r="I210" s="35">
        <v>1</v>
      </c>
      <c r="J210" s="22"/>
      <c r="K210" s="17"/>
      <c r="L210" s="649">
        <f t="shared" si="1"/>
        <v>68.263599999999997</v>
      </c>
    </row>
    <row r="211" spans="2:12" ht="16.5">
      <c r="B211" s="670" t="s">
        <v>645</v>
      </c>
      <c r="C211" s="42"/>
      <c r="D211" s="42">
        <v>24.763200000000005</v>
      </c>
      <c r="E211" s="42">
        <v>42.5</v>
      </c>
      <c r="F211" s="49"/>
      <c r="G211" s="49"/>
      <c r="H211" s="671"/>
      <c r="I211" s="35">
        <v>1</v>
      </c>
      <c r="J211" s="22"/>
      <c r="K211" s="17"/>
      <c r="L211" s="649">
        <f t="shared" si="1"/>
        <v>67.263200000000012</v>
      </c>
    </row>
    <row r="212" spans="2:12" ht="16.5">
      <c r="B212" s="670" t="s">
        <v>646</v>
      </c>
      <c r="C212" s="42"/>
      <c r="D212" s="42">
        <v>17.259200000000003</v>
      </c>
      <c r="E212" s="42">
        <v>30.499999999999996</v>
      </c>
      <c r="F212" s="49"/>
      <c r="G212" s="49"/>
      <c r="H212" s="671"/>
      <c r="I212" s="35">
        <v>1</v>
      </c>
      <c r="J212" s="22"/>
      <c r="K212" s="17"/>
      <c r="L212" s="649">
        <f t="shared" si="1"/>
        <v>47.7592</v>
      </c>
    </row>
    <row r="213" spans="2:12" ht="16.5">
      <c r="B213" s="670" t="s">
        <v>647</v>
      </c>
      <c r="C213" s="42"/>
      <c r="D213" s="42">
        <v>20.260800000000003</v>
      </c>
      <c r="E213" s="42"/>
      <c r="F213" s="49">
        <v>66.73599999999999</v>
      </c>
      <c r="G213" s="49">
        <v>66.73599999999999</v>
      </c>
      <c r="H213" s="671"/>
      <c r="I213" s="35">
        <v>6</v>
      </c>
      <c r="J213" s="22"/>
      <c r="K213" s="17"/>
      <c r="L213" s="649">
        <f t="shared" si="1"/>
        <v>922.39679999999998</v>
      </c>
    </row>
    <row r="214" spans="2:12" ht="16.5">
      <c r="B214" s="670" t="s">
        <v>648</v>
      </c>
      <c r="C214" s="42"/>
      <c r="D214" s="42">
        <v>19.510400000000004</v>
      </c>
      <c r="E214" s="42"/>
      <c r="F214" s="49">
        <v>66.73599999999999</v>
      </c>
      <c r="G214" s="49">
        <v>66.73599999999999</v>
      </c>
      <c r="H214" s="671"/>
      <c r="I214" s="35">
        <v>6</v>
      </c>
      <c r="J214" s="22"/>
      <c r="K214" s="17"/>
      <c r="L214" s="649">
        <f t="shared" si="1"/>
        <v>917.89439999999991</v>
      </c>
    </row>
    <row r="215" spans="2:12" ht="16.5">
      <c r="B215" s="670" t="s">
        <v>649</v>
      </c>
      <c r="C215" s="42"/>
      <c r="D215" s="42">
        <v>20.260800000000003</v>
      </c>
      <c r="E215" s="42"/>
      <c r="F215" s="49">
        <v>66.73599999999999</v>
      </c>
      <c r="G215" s="49">
        <v>66.73599999999999</v>
      </c>
      <c r="H215" s="671"/>
      <c r="I215" s="35">
        <v>6</v>
      </c>
      <c r="J215" s="22"/>
      <c r="K215" s="17"/>
      <c r="L215" s="649">
        <f t="shared" si="1"/>
        <v>922.39679999999998</v>
      </c>
    </row>
    <row r="216" spans="2:12" ht="16.5">
      <c r="B216" s="670" t="s">
        <v>650</v>
      </c>
      <c r="C216" s="42"/>
      <c r="D216" s="42">
        <v>20.260800000000003</v>
      </c>
      <c r="E216" s="42"/>
      <c r="F216" s="49">
        <v>66.73599999999999</v>
      </c>
      <c r="G216" s="49">
        <v>66.73599999999999</v>
      </c>
      <c r="H216" s="671"/>
      <c r="I216" s="35">
        <v>6</v>
      </c>
      <c r="J216" s="22"/>
      <c r="K216" s="17"/>
      <c r="L216" s="649">
        <f t="shared" si="1"/>
        <v>922.39679999999998</v>
      </c>
    </row>
    <row r="217" spans="2:12" ht="16.5">
      <c r="B217" s="670" t="s">
        <v>651</v>
      </c>
      <c r="C217" s="42"/>
      <c r="D217" s="42">
        <v>14.257600000000002</v>
      </c>
      <c r="E217" s="42"/>
      <c r="F217" s="49">
        <v>48.112000000000009</v>
      </c>
      <c r="G217" s="49">
        <v>48.112000000000009</v>
      </c>
      <c r="H217" s="671"/>
      <c r="I217" s="35">
        <v>6</v>
      </c>
      <c r="J217" s="22"/>
      <c r="K217" s="17"/>
      <c r="L217" s="649">
        <f t="shared" si="1"/>
        <v>662.88960000000009</v>
      </c>
    </row>
    <row r="218" spans="2:12" ht="16.5">
      <c r="B218" s="670" t="s">
        <v>652</v>
      </c>
      <c r="C218" s="42"/>
      <c r="D218" s="42">
        <f>6*2.05*0.56</f>
        <v>6.8879999999999999</v>
      </c>
      <c r="E218" s="42"/>
      <c r="F218" s="49"/>
      <c r="G218" s="49"/>
      <c r="H218" s="672"/>
      <c r="I218" s="35">
        <f>220*2</f>
        <v>440</v>
      </c>
      <c r="J218" s="22"/>
      <c r="K218" s="17"/>
      <c r="L218" s="649">
        <f t="shared" si="1"/>
        <v>3030.72</v>
      </c>
    </row>
    <row r="219" spans="2:12" ht="16.5">
      <c r="B219" s="670" t="s">
        <v>653</v>
      </c>
      <c r="C219" s="42"/>
      <c r="D219" s="42">
        <f>3*6*8*0.56*2</f>
        <v>161.28000000000003</v>
      </c>
      <c r="E219" s="42"/>
      <c r="F219" s="42"/>
      <c r="G219" s="42"/>
      <c r="H219" s="673"/>
      <c r="I219" s="35">
        <v>6</v>
      </c>
      <c r="J219" s="22"/>
      <c r="K219" s="17"/>
      <c r="L219" s="649">
        <f t="shared" si="1"/>
        <v>967.68000000000018</v>
      </c>
    </row>
    <row r="220" spans="2:12" ht="16.5">
      <c r="B220" s="670" t="s">
        <v>654</v>
      </c>
      <c r="C220" s="42"/>
      <c r="D220" s="42">
        <f>305*3.4*0.56*2</f>
        <v>1161.44</v>
      </c>
      <c r="E220" s="42"/>
      <c r="F220" s="42"/>
      <c r="G220" s="42"/>
      <c r="H220" s="673"/>
      <c r="I220" s="35">
        <v>1</v>
      </c>
      <c r="J220" s="22"/>
      <c r="K220" s="17"/>
      <c r="L220" s="649">
        <f t="shared" si="1"/>
        <v>1161.44</v>
      </c>
    </row>
    <row r="221" spans="2:12" ht="16.5">
      <c r="B221" s="670" t="s">
        <v>655</v>
      </c>
      <c r="C221" s="42"/>
      <c r="D221" s="42">
        <f>9*13*6*0.56*2</f>
        <v>786.24000000000012</v>
      </c>
      <c r="E221" s="42"/>
      <c r="F221" s="42"/>
      <c r="G221" s="42"/>
      <c r="H221" s="673"/>
      <c r="I221" s="35">
        <v>1</v>
      </c>
      <c r="J221" s="22"/>
      <c r="K221" s="17"/>
      <c r="L221" s="649">
        <f t="shared" si="1"/>
        <v>786.24000000000012</v>
      </c>
    </row>
    <row r="222" spans="2:12" ht="16.5">
      <c r="B222" s="674" t="s">
        <v>433</v>
      </c>
      <c r="C222" s="42">
        <f>34*18.8</f>
        <v>639.20000000000005</v>
      </c>
      <c r="D222" s="42"/>
      <c r="E222" s="42"/>
      <c r="F222" s="49"/>
      <c r="G222" s="49"/>
      <c r="H222" s="673"/>
      <c r="I222" s="35">
        <v>1</v>
      </c>
      <c r="J222" s="22"/>
      <c r="K222" s="17"/>
      <c r="L222" s="649">
        <f t="shared" si="1"/>
        <v>639.20000000000005</v>
      </c>
    </row>
    <row r="223" spans="2:12" ht="16.5">
      <c r="B223" s="674" t="s">
        <v>656</v>
      </c>
      <c r="C223" s="42">
        <f>25*29.3</f>
        <v>732.5</v>
      </c>
      <c r="D223" s="42"/>
      <c r="E223" s="42"/>
      <c r="F223" s="49"/>
      <c r="G223" s="49"/>
      <c r="H223" s="673"/>
      <c r="I223" s="35">
        <v>1</v>
      </c>
      <c r="J223" s="22"/>
      <c r="K223" s="17"/>
      <c r="L223" s="649">
        <f t="shared" si="1"/>
        <v>732.5</v>
      </c>
    </row>
    <row r="224" spans="2:12" ht="16.5">
      <c r="B224" s="675" t="s">
        <v>657</v>
      </c>
      <c r="C224" s="163"/>
      <c r="D224" s="163"/>
      <c r="E224" s="163">
        <f>1.75*4*0.56</f>
        <v>3.9200000000000004</v>
      </c>
      <c r="F224" s="163">
        <f>2.3*2</f>
        <v>4.5999999999999996</v>
      </c>
      <c r="G224" s="164"/>
      <c r="H224" s="676"/>
      <c r="I224" s="165">
        <f>6*31</f>
        <v>186</v>
      </c>
      <c r="J224" s="166"/>
      <c r="K224" s="167"/>
      <c r="L224" s="677">
        <f t="shared" si="1"/>
        <v>1584.72</v>
      </c>
    </row>
    <row r="225" spans="2:13" ht="15">
      <c r="B225" s="678" t="s">
        <v>434</v>
      </c>
      <c r="C225" s="131">
        <f>36*29.3</f>
        <v>1054.8</v>
      </c>
      <c r="D225" s="127"/>
      <c r="E225" s="155"/>
      <c r="F225" s="155"/>
      <c r="G225" s="155"/>
      <c r="H225" s="33"/>
      <c r="I225" s="35">
        <v>1</v>
      </c>
      <c r="J225" s="22"/>
      <c r="K225" s="17"/>
      <c r="L225" s="649">
        <f t="shared" ref="L225" si="2">+SUM(C225:H225)*I225</f>
        <v>1054.8</v>
      </c>
    </row>
    <row r="226" spans="2:13" ht="16.5">
      <c r="B226" s="679" t="s">
        <v>658</v>
      </c>
      <c r="C226" s="19"/>
      <c r="D226" s="42">
        <f>91*1.2*0.56+3*0.9*0.56*22*2</f>
        <v>127.68</v>
      </c>
      <c r="E226" s="49">
        <f>+(0.9+1.7+2+10)*7</f>
        <v>102.2</v>
      </c>
      <c r="F226" s="42">
        <f>4.5*1.552*7</f>
        <v>48.887999999999998</v>
      </c>
      <c r="G226" s="33"/>
      <c r="H226" s="21"/>
      <c r="I226" s="28">
        <v>12</v>
      </c>
      <c r="J226" s="22"/>
      <c r="K226" s="17"/>
      <c r="L226" s="649">
        <f>+SUM(C226:H226)*I226</f>
        <v>3345.2159999999994</v>
      </c>
    </row>
    <row r="227" spans="2:13" ht="15">
      <c r="B227" s="680"/>
      <c r="C227" s="61"/>
      <c r="D227" s="127"/>
      <c r="E227" s="681"/>
      <c r="F227" s="682"/>
      <c r="G227" s="681"/>
      <c r="H227" s="64"/>
      <c r="I227" s="128"/>
      <c r="J227" s="129"/>
      <c r="K227" s="130"/>
      <c r="L227" s="649"/>
    </row>
    <row r="228" spans="2:13" ht="15.75">
      <c r="B228" s="683" t="s">
        <v>659</v>
      </c>
      <c r="C228" s="684"/>
      <c r="D228" s="685"/>
      <c r="E228" s="685"/>
      <c r="F228" s="685"/>
      <c r="G228" s="685"/>
      <c r="H228" s="686"/>
      <c r="I228" s="687"/>
      <c r="J228" s="688"/>
      <c r="K228" s="687"/>
      <c r="L228" s="689"/>
    </row>
    <row r="229" spans="2:13" ht="15">
      <c r="B229" s="662" t="s">
        <v>660</v>
      </c>
      <c r="C229" s="19"/>
      <c r="D229" s="33"/>
      <c r="E229" s="33">
        <f>2.75*30</f>
        <v>82.5</v>
      </c>
      <c r="F229" s="20"/>
      <c r="G229" s="20"/>
      <c r="H229" s="21"/>
      <c r="I229" s="35">
        <v>11</v>
      </c>
      <c r="J229" s="22"/>
      <c r="K229" s="17"/>
      <c r="L229" s="649">
        <f>+SUM(C229:H229)*I229</f>
        <v>907.5</v>
      </c>
    </row>
    <row r="230" spans="2:13" ht="15">
      <c r="B230" s="662" t="s">
        <v>440</v>
      </c>
      <c r="C230" s="19"/>
      <c r="D230" s="33"/>
      <c r="E230" s="33">
        <f>1.95*20</f>
        <v>39</v>
      </c>
      <c r="F230" s="20"/>
      <c r="G230" s="20"/>
      <c r="H230" s="21"/>
      <c r="I230" s="35">
        <v>11</v>
      </c>
      <c r="J230" s="22"/>
      <c r="K230" s="17"/>
      <c r="L230" s="649">
        <f t="shared" ref="L230:L234" si="3">+SUM(C230:H230)*I230</f>
        <v>429</v>
      </c>
    </row>
    <row r="231" spans="2:13" ht="15">
      <c r="B231" s="662" t="s">
        <v>441</v>
      </c>
      <c r="C231" s="19"/>
      <c r="D231" s="33"/>
      <c r="E231" s="33">
        <f>2.75*11+2*15</f>
        <v>60.25</v>
      </c>
      <c r="F231" s="20"/>
      <c r="G231" s="20"/>
      <c r="H231" s="21"/>
      <c r="I231" s="35">
        <v>11</v>
      </c>
      <c r="J231" s="22"/>
      <c r="K231" s="17"/>
      <c r="L231" s="649">
        <f t="shared" si="3"/>
        <v>662.75</v>
      </c>
    </row>
    <row r="232" spans="2:13" ht="15">
      <c r="B232" s="662" t="s">
        <v>465</v>
      </c>
      <c r="C232" s="19"/>
      <c r="D232" s="33"/>
      <c r="E232" s="33">
        <f>2.45*40+3.25*28</f>
        <v>189</v>
      </c>
      <c r="F232" s="20"/>
      <c r="G232" s="20"/>
      <c r="H232" s="21"/>
      <c r="I232" s="35">
        <v>1</v>
      </c>
      <c r="J232" s="22"/>
      <c r="K232" s="17"/>
      <c r="L232" s="649">
        <f t="shared" si="3"/>
        <v>189</v>
      </c>
    </row>
    <row r="233" spans="2:13" ht="15">
      <c r="B233" s="662" t="s">
        <v>466</v>
      </c>
      <c r="C233" s="19"/>
      <c r="D233" s="33"/>
      <c r="E233" s="33">
        <f>2.35*26*2</f>
        <v>122.2</v>
      </c>
      <c r="F233" s="20"/>
      <c r="G233" s="20"/>
      <c r="H233" s="21"/>
      <c r="I233" s="35">
        <v>1</v>
      </c>
      <c r="J233" s="22"/>
      <c r="K233" s="17"/>
      <c r="L233" s="649">
        <f t="shared" si="3"/>
        <v>122.2</v>
      </c>
    </row>
    <row r="234" spans="2:13" ht="15">
      <c r="B234" s="662" t="s">
        <v>661</v>
      </c>
      <c r="C234" s="19"/>
      <c r="D234" s="33"/>
      <c r="E234" s="36">
        <f>3.25*38*2</f>
        <v>247</v>
      </c>
      <c r="F234" s="20"/>
      <c r="G234" s="20"/>
      <c r="H234" s="21"/>
      <c r="I234" s="35">
        <v>1</v>
      </c>
      <c r="J234" s="22"/>
      <c r="K234" s="17"/>
      <c r="L234" s="649">
        <f t="shared" si="3"/>
        <v>247</v>
      </c>
    </row>
    <row r="235" spans="2:13" ht="15">
      <c r="B235" s="690"/>
      <c r="C235" s="19"/>
      <c r="D235" s="33"/>
      <c r="E235" s="20"/>
      <c r="F235" s="20"/>
      <c r="G235" s="20"/>
      <c r="H235" s="21"/>
      <c r="I235" s="132"/>
      <c r="J235" s="129"/>
      <c r="K235" s="130"/>
      <c r="L235" s="691"/>
    </row>
    <row r="236" spans="2:13" ht="15.75">
      <c r="B236" s="692" t="s">
        <v>428</v>
      </c>
      <c r="C236" s="19"/>
      <c r="D236" s="583"/>
      <c r="E236" s="583"/>
      <c r="F236" s="583"/>
      <c r="G236" s="583"/>
      <c r="H236" s="21"/>
      <c r="I236" s="399"/>
      <c r="J236" s="398"/>
      <c r="K236" s="399"/>
      <c r="L236" s="693"/>
    </row>
    <row r="237" spans="2:13" ht="16.5">
      <c r="B237" s="662" t="s">
        <v>662</v>
      </c>
      <c r="C237" s="19"/>
      <c r="D237" s="42">
        <f>+(23+24+6+5)*(1.88+0.55)*0.56</f>
        <v>78.926400000000001</v>
      </c>
      <c r="E237" s="33"/>
      <c r="F237" s="33">
        <v>81.945599999999999</v>
      </c>
      <c r="G237" s="42">
        <f>8*6.6*2.235</f>
        <v>118.00799999999998</v>
      </c>
      <c r="H237" s="21"/>
      <c r="I237" s="35">
        <v>13</v>
      </c>
      <c r="J237" s="22"/>
      <c r="K237" s="17"/>
      <c r="L237" s="649">
        <f>+SUM(C237:H237)*I237</f>
        <v>3625.44</v>
      </c>
    </row>
    <row r="238" spans="2:13" ht="16.5">
      <c r="B238" s="662" t="s">
        <v>663</v>
      </c>
      <c r="C238" s="19"/>
      <c r="D238" s="694">
        <f>+(24+11+6)*1.48*0.56+(24+11+6)*0.45*0.56</f>
        <v>44.312800000000003</v>
      </c>
      <c r="E238" s="36"/>
      <c r="F238" s="33">
        <v>33.523200000000003</v>
      </c>
      <c r="G238" s="33">
        <f>4*5.4*2.235</f>
        <v>48.276000000000003</v>
      </c>
      <c r="H238" s="21"/>
      <c r="I238" s="35">
        <v>13</v>
      </c>
      <c r="J238" s="22"/>
      <c r="K238" s="17"/>
      <c r="L238" s="649">
        <f>+SUM(C238:H238)*I238</f>
        <v>1639.4560000000004</v>
      </c>
    </row>
    <row r="239" spans="2:13" ht="16.5">
      <c r="B239" s="662" t="s">
        <v>664</v>
      </c>
      <c r="C239" s="19"/>
      <c r="D239" s="694">
        <f>31*1.48*0.56+31*0.45*0.56</f>
        <v>33.504800000000003</v>
      </c>
      <c r="E239" s="36"/>
      <c r="F239" s="33">
        <v>23.590399999999999</v>
      </c>
      <c r="G239" s="33">
        <f>4*3.8*2.235</f>
        <v>33.971999999999994</v>
      </c>
      <c r="H239" s="21"/>
      <c r="I239" s="35">
        <v>13</v>
      </c>
      <c r="J239" s="22"/>
      <c r="K239" s="17"/>
      <c r="L239" s="649">
        <f t="shared" ref="L239" si="4">+SUM(C239:H239)*I239</f>
        <v>1183.8735999999999</v>
      </c>
      <c r="M239" s="58"/>
    </row>
    <row r="240" spans="2:13" ht="15.75">
      <c r="B240" s="695" t="s">
        <v>605</v>
      </c>
      <c r="C240" s="696"/>
      <c r="D240" s="697"/>
      <c r="E240" s="697"/>
      <c r="F240" s="697"/>
      <c r="G240" s="697"/>
      <c r="H240" s="698"/>
      <c r="I240" s="699"/>
      <c r="J240" s="700"/>
      <c r="K240" s="699"/>
      <c r="L240" s="701"/>
    </row>
    <row r="241" spans="2:12" ht="16.5">
      <c r="B241" s="662" t="s">
        <v>665</v>
      </c>
      <c r="C241" s="19"/>
      <c r="D241" s="43">
        <v>148.69999999999999</v>
      </c>
      <c r="E241" s="43">
        <v>91</v>
      </c>
      <c r="F241" s="43">
        <v>286.8</v>
      </c>
      <c r="G241" s="20"/>
      <c r="H241" s="21"/>
      <c r="I241" s="35">
        <v>1</v>
      </c>
      <c r="J241" s="22"/>
      <c r="K241" s="17"/>
      <c r="L241" s="649">
        <f>+SUM(C241:H241)*I241</f>
        <v>526.5</v>
      </c>
    </row>
    <row r="242" spans="2:12" ht="16.5">
      <c r="B242" s="662" t="s">
        <v>666</v>
      </c>
      <c r="C242" s="19"/>
      <c r="D242" s="43">
        <v>7</v>
      </c>
      <c r="E242" s="43" t="s">
        <v>429</v>
      </c>
      <c r="F242" s="43">
        <v>18.600000000000001</v>
      </c>
      <c r="G242" s="20"/>
      <c r="H242" s="21"/>
      <c r="I242" s="35">
        <v>1</v>
      </c>
      <c r="J242" s="22"/>
      <c r="K242" s="17"/>
      <c r="L242" s="649">
        <f t="shared" ref="L242:L267" si="5">+SUM(C242:H242)*I242</f>
        <v>25.6</v>
      </c>
    </row>
    <row r="243" spans="2:12" ht="16.5">
      <c r="B243" s="662" t="s">
        <v>667</v>
      </c>
      <c r="C243" s="19"/>
      <c r="D243" s="43">
        <v>124.7</v>
      </c>
      <c r="E243" s="43">
        <v>74.5</v>
      </c>
      <c r="F243" s="43">
        <v>235.2</v>
      </c>
      <c r="G243" s="20"/>
      <c r="H243" s="21"/>
      <c r="I243" s="35">
        <v>1</v>
      </c>
      <c r="J243" s="22"/>
      <c r="K243" s="17"/>
      <c r="L243" s="649">
        <f t="shared" si="5"/>
        <v>434.4</v>
      </c>
    </row>
    <row r="244" spans="2:12" ht="16.5">
      <c r="B244" s="662" t="s">
        <v>447</v>
      </c>
      <c r="C244" s="19"/>
      <c r="D244" s="43">
        <v>108.9</v>
      </c>
      <c r="E244" s="43">
        <v>66</v>
      </c>
      <c r="F244" s="43">
        <v>207.8</v>
      </c>
      <c r="G244" s="20"/>
      <c r="H244" s="21"/>
      <c r="I244" s="35">
        <v>1</v>
      </c>
      <c r="J244" s="22"/>
      <c r="K244" s="17"/>
      <c r="L244" s="649">
        <f t="shared" si="5"/>
        <v>382.70000000000005</v>
      </c>
    </row>
    <row r="245" spans="2:12" ht="16.5">
      <c r="B245" s="662" t="s">
        <v>448</v>
      </c>
      <c r="C245" s="19"/>
      <c r="D245" s="43">
        <v>2.6</v>
      </c>
      <c r="E245" s="43" t="s">
        <v>429</v>
      </c>
      <c r="F245" s="43">
        <v>10.199999999999999</v>
      </c>
      <c r="G245" s="20"/>
      <c r="H245" s="21"/>
      <c r="I245" s="35">
        <v>1</v>
      </c>
      <c r="J245" s="22"/>
      <c r="K245" s="17"/>
      <c r="L245" s="649">
        <f>+SUM(C245:H245)*I245</f>
        <v>12.799999999999999</v>
      </c>
    </row>
    <row r="246" spans="2:12" ht="16.5">
      <c r="B246" s="662" t="s">
        <v>449</v>
      </c>
      <c r="C246" s="19"/>
      <c r="D246" s="43">
        <v>3.2</v>
      </c>
      <c r="E246" s="43" t="s">
        <v>429</v>
      </c>
      <c r="F246" s="43">
        <v>11.4</v>
      </c>
      <c r="G246" s="20"/>
      <c r="H246" s="21"/>
      <c r="I246" s="35">
        <v>1</v>
      </c>
      <c r="J246" s="22"/>
      <c r="K246" s="17"/>
      <c r="L246" s="649">
        <f t="shared" si="5"/>
        <v>14.600000000000001</v>
      </c>
    </row>
    <row r="247" spans="2:12" ht="16.5">
      <c r="B247" s="662" t="s">
        <v>450</v>
      </c>
      <c r="C247" s="19"/>
      <c r="D247" s="43">
        <v>2.6</v>
      </c>
      <c r="E247" s="43" t="s">
        <v>429</v>
      </c>
      <c r="F247" s="43">
        <v>10.8</v>
      </c>
      <c r="G247" s="20"/>
      <c r="H247" s="21"/>
      <c r="I247" s="35">
        <v>1</v>
      </c>
      <c r="J247" s="22"/>
      <c r="K247" s="17"/>
      <c r="L247" s="649">
        <f t="shared" si="5"/>
        <v>13.4</v>
      </c>
    </row>
    <row r="248" spans="2:12" ht="16.5">
      <c r="B248" s="662" t="s">
        <v>470</v>
      </c>
      <c r="C248" s="19"/>
      <c r="D248" s="43">
        <v>21</v>
      </c>
      <c r="E248" s="43" t="s">
        <v>429</v>
      </c>
      <c r="F248" s="43">
        <v>53.6</v>
      </c>
      <c r="G248" s="20"/>
      <c r="H248" s="21"/>
      <c r="I248" s="35">
        <v>4</v>
      </c>
      <c r="J248" s="22"/>
      <c r="K248" s="17"/>
      <c r="L248" s="649">
        <f t="shared" si="5"/>
        <v>298.39999999999998</v>
      </c>
    </row>
    <row r="249" spans="2:12" ht="16.5">
      <c r="B249" s="662" t="s">
        <v>471</v>
      </c>
      <c r="C249" s="19"/>
      <c r="D249" s="43">
        <v>11.5</v>
      </c>
      <c r="E249" s="43" t="s">
        <v>429</v>
      </c>
      <c r="F249" s="43">
        <v>25.8</v>
      </c>
      <c r="G249" s="20"/>
      <c r="H249" s="21"/>
      <c r="I249" s="35">
        <v>2</v>
      </c>
      <c r="J249" s="22"/>
      <c r="K249" s="17"/>
      <c r="L249" s="649">
        <f t="shared" si="5"/>
        <v>74.599999999999994</v>
      </c>
    </row>
    <row r="250" spans="2:12" ht="16.5">
      <c r="B250" s="662" t="s">
        <v>472</v>
      </c>
      <c r="C250" s="19"/>
      <c r="D250" s="43">
        <v>25.5</v>
      </c>
      <c r="E250" s="43" t="s">
        <v>429</v>
      </c>
      <c r="F250" s="43">
        <v>59.4</v>
      </c>
      <c r="G250" s="20"/>
      <c r="H250" s="21"/>
      <c r="I250" s="35">
        <v>2</v>
      </c>
      <c r="J250" s="22"/>
      <c r="K250" s="17"/>
      <c r="L250" s="649">
        <f t="shared" si="5"/>
        <v>169.8</v>
      </c>
    </row>
    <row r="251" spans="2:12" ht="16.5">
      <c r="B251" s="662" t="s">
        <v>473</v>
      </c>
      <c r="C251" s="19"/>
      <c r="D251" s="43">
        <v>18.5</v>
      </c>
      <c r="E251" s="43" t="s">
        <v>429</v>
      </c>
      <c r="F251" s="43">
        <v>40.4</v>
      </c>
      <c r="G251" s="20"/>
      <c r="H251" s="21"/>
      <c r="I251" s="35">
        <v>1</v>
      </c>
      <c r="J251" s="22"/>
      <c r="K251" s="17"/>
      <c r="L251" s="649">
        <f t="shared" si="5"/>
        <v>58.9</v>
      </c>
    </row>
    <row r="252" spans="2:12" ht="16.5">
      <c r="B252" s="662" t="s">
        <v>668</v>
      </c>
      <c r="C252" s="19"/>
      <c r="D252" s="43">
        <v>14</v>
      </c>
      <c r="E252" s="43" t="s">
        <v>429</v>
      </c>
      <c r="F252" s="43">
        <v>33.6</v>
      </c>
      <c r="G252" s="20"/>
      <c r="H252" s="21"/>
      <c r="I252" s="35">
        <v>1</v>
      </c>
      <c r="J252" s="22"/>
      <c r="K252" s="17"/>
      <c r="L252" s="649">
        <f t="shared" si="5"/>
        <v>47.6</v>
      </c>
    </row>
    <row r="253" spans="2:12" ht="16.5">
      <c r="B253" s="662" t="s">
        <v>669</v>
      </c>
      <c r="C253" s="19"/>
      <c r="D253" s="43">
        <v>25.5</v>
      </c>
      <c r="E253" s="43" t="s">
        <v>429</v>
      </c>
      <c r="F253" s="43">
        <v>59.4</v>
      </c>
      <c r="G253" s="20"/>
      <c r="H253" s="21"/>
      <c r="I253" s="35">
        <v>3</v>
      </c>
      <c r="J253" s="22"/>
      <c r="K253" s="17"/>
      <c r="L253" s="649">
        <f t="shared" si="5"/>
        <v>254.70000000000002</v>
      </c>
    </row>
    <row r="254" spans="2:12" ht="16.5">
      <c r="B254" s="662" t="s">
        <v>670</v>
      </c>
      <c r="C254" s="19"/>
      <c r="D254" s="43">
        <v>21</v>
      </c>
      <c r="E254" s="43" t="s">
        <v>429</v>
      </c>
      <c r="F254" s="43">
        <v>53.4</v>
      </c>
      <c r="G254" s="20"/>
      <c r="H254" s="21"/>
      <c r="I254" s="35">
        <v>2</v>
      </c>
      <c r="J254" s="22"/>
      <c r="K254" s="17"/>
      <c r="L254" s="649">
        <f t="shared" si="5"/>
        <v>148.80000000000001</v>
      </c>
    </row>
    <row r="255" spans="2:12" ht="16.5">
      <c r="B255" s="662" t="s">
        <v>671</v>
      </c>
      <c r="C255" s="19"/>
      <c r="D255" s="43">
        <v>21</v>
      </c>
      <c r="E255" s="43" t="s">
        <v>429</v>
      </c>
      <c r="F255" s="43">
        <v>53.6</v>
      </c>
      <c r="G255" s="20"/>
      <c r="H255" s="21"/>
      <c r="I255" s="35">
        <v>1</v>
      </c>
      <c r="J255" s="22"/>
      <c r="K255" s="17"/>
      <c r="L255" s="649">
        <f t="shared" si="5"/>
        <v>74.599999999999994</v>
      </c>
    </row>
    <row r="256" spans="2:12" ht="16.5">
      <c r="B256" s="662" t="s">
        <v>672</v>
      </c>
      <c r="C256" s="19"/>
      <c r="D256" s="43">
        <v>21</v>
      </c>
      <c r="E256" s="43" t="s">
        <v>429</v>
      </c>
      <c r="F256" s="43">
        <v>53.8</v>
      </c>
      <c r="G256" s="20"/>
      <c r="H256" s="21"/>
      <c r="I256" s="35">
        <v>1</v>
      </c>
      <c r="J256" s="22"/>
      <c r="K256" s="17"/>
      <c r="L256" s="649">
        <f t="shared" si="5"/>
        <v>74.8</v>
      </c>
    </row>
    <row r="257" spans="2:12" ht="16.5">
      <c r="B257" s="662" t="s">
        <v>673</v>
      </c>
      <c r="C257" s="19"/>
      <c r="D257" s="43">
        <v>14</v>
      </c>
      <c r="E257" s="43" t="s">
        <v>429</v>
      </c>
      <c r="F257" s="43">
        <v>33.6</v>
      </c>
      <c r="G257" s="20"/>
      <c r="H257" s="21"/>
      <c r="I257" s="35">
        <v>1</v>
      </c>
      <c r="J257" s="22"/>
      <c r="K257" s="17"/>
      <c r="L257" s="649">
        <f t="shared" si="5"/>
        <v>47.6</v>
      </c>
    </row>
    <row r="258" spans="2:12" ht="16.5">
      <c r="B258" s="662" t="s">
        <v>674</v>
      </c>
      <c r="C258" s="19"/>
      <c r="D258" s="43">
        <v>18.5</v>
      </c>
      <c r="E258" s="43" t="s">
        <v>429</v>
      </c>
      <c r="F258" s="43">
        <v>40.4</v>
      </c>
      <c r="G258" s="20"/>
      <c r="H258" s="21"/>
      <c r="I258" s="35">
        <v>1</v>
      </c>
      <c r="J258" s="22"/>
      <c r="K258" s="17"/>
      <c r="L258" s="649">
        <f t="shared" si="5"/>
        <v>58.9</v>
      </c>
    </row>
    <row r="259" spans="2:12" ht="16.5">
      <c r="B259" s="662" t="s">
        <v>675</v>
      </c>
      <c r="C259" s="19"/>
      <c r="D259" s="43">
        <v>11.5</v>
      </c>
      <c r="E259" s="43" t="s">
        <v>429</v>
      </c>
      <c r="F259" s="43">
        <v>25.6</v>
      </c>
      <c r="G259" s="20"/>
      <c r="H259" s="21"/>
      <c r="I259" s="35">
        <v>1</v>
      </c>
      <c r="J259" s="22"/>
      <c r="K259" s="17"/>
      <c r="L259" s="649">
        <f t="shared" si="5"/>
        <v>37.1</v>
      </c>
    </row>
    <row r="260" spans="2:12" ht="16.5">
      <c r="B260" s="662" t="s">
        <v>676</v>
      </c>
      <c r="C260" s="19"/>
      <c r="D260" s="43">
        <v>14</v>
      </c>
      <c r="E260" s="43" t="s">
        <v>429</v>
      </c>
      <c r="F260" s="43">
        <v>33.799999999999997</v>
      </c>
      <c r="G260" s="20"/>
      <c r="H260" s="21"/>
      <c r="I260" s="35">
        <v>2</v>
      </c>
      <c r="J260" s="22"/>
      <c r="K260" s="17"/>
      <c r="L260" s="649">
        <f t="shared" si="5"/>
        <v>95.6</v>
      </c>
    </row>
    <row r="261" spans="2:12" ht="16.5">
      <c r="B261" s="662" t="s">
        <v>677</v>
      </c>
      <c r="C261" s="19"/>
      <c r="D261" s="43">
        <v>7</v>
      </c>
      <c r="E261" s="43" t="s">
        <v>429</v>
      </c>
      <c r="F261" s="43">
        <v>19.8</v>
      </c>
      <c r="G261" s="20"/>
      <c r="H261" s="21"/>
      <c r="I261" s="35">
        <v>1</v>
      </c>
      <c r="J261" s="22"/>
      <c r="K261" s="17"/>
      <c r="L261" s="649">
        <f t="shared" si="5"/>
        <v>26.8</v>
      </c>
    </row>
    <row r="262" spans="2:12" ht="16.5">
      <c r="B262" s="662" t="s">
        <v>678</v>
      </c>
      <c r="C262" s="19"/>
      <c r="D262" s="43">
        <v>7</v>
      </c>
      <c r="E262" s="43" t="s">
        <v>429</v>
      </c>
      <c r="F262" s="43">
        <v>18.600000000000001</v>
      </c>
      <c r="G262" s="20"/>
      <c r="H262" s="21"/>
      <c r="I262" s="35">
        <v>1</v>
      </c>
      <c r="J262" s="22"/>
      <c r="K262" s="17"/>
      <c r="L262" s="649">
        <f t="shared" si="5"/>
        <v>25.6</v>
      </c>
    </row>
    <row r="263" spans="2:12" ht="16.5">
      <c r="B263" s="662" t="s">
        <v>679</v>
      </c>
      <c r="C263" s="19"/>
      <c r="D263" s="43">
        <v>2.6</v>
      </c>
      <c r="E263" s="43" t="s">
        <v>429</v>
      </c>
      <c r="F263" s="43">
        <v>10.199999999999999</v>
      </c>
      <c r="G263" s="20"/>
      <c r="H263" s="21"/>
      <c r="I263" s="35">
        <v>1</v>
      </c>
      <c r="J263" s="22"/>
      <c r="K263" s="17"/>
      <c r="L263" s="649">
        <f t="shared" si="5"/>
        <v>12.799999999999999</v>
      </c>
    </row>
    <row r="264" spans="2:12" ht="16.5">
      <c r="B264" s="662" t="s">
        <v>680</v>
      </c>
      <c r="C264" s="19"/>
      <c r="D264" s="43">
        <v>3.2</v>
      </c>
      <c r="E264" s="43" t="s">
        <v>429</v>
      </c>
      <c r="F264" s="43">
        <v>11.4</v>
      </c>
      <c r="G264" s="20"/>
      <c r="H264" s="21"/>
      <c r="I264" s="35">
        <v>1</v>
      </c>
      <c r="J264" s="22"/>
      <c r="K264" s="17"/>
      <c r="L264" s="649">
        <f t="shared" si="5"/>
        <v>14.600000000000001</v>
      </c>
    </row>
    <row r="265" spans="2:12" ht="16.5">
      <c r="B265" s="662" t="s">
        <v>681</v>
      </c>
      <c r="C265" s="19"/>
      <c r="D265" s="43">
        <v>2.6</v>
      </c>
      <c r="E265" s="43" t="s">
        <v>429</v>
      </c>
      <c r="F265" s="43">
        <v>10.199999999999999</v>
      </c>
      <c r="G265" s="20"/>
      <c r="H265" s="21"/>
      <c r="I265" s="35">
        <v>1</v>
      </c>
      <c r="J265" s="22"/>
      <c r="K265" s="17"/>
      <c r="L265" s="649">
        <f t="shared" si="5"/>
        <v>12.799999999999999</v>
      </c>
    </row>
    <row r="266" spans="2:12" ht="16.5">
      <c r="B266" s="662" t="s">
        <v>682</v>
      </c>
      <c r="C266" s="19"/>
      <c r="D266" s="43">
        <v>72.099999999999994</v>
      </c>
      <c r="E266" s="43">
        <v>43.6</v>
      </c>
      <c r="F266" s="43">
        <v>137.4</v>
      </c>
      <c r="G266" s="20"/>
      <c r="H266" s="21"/>
      <c r="I266" s="35">
        <v>3</v>
      </c>
      <c r="J266" s="22"/>
      <c r="K266" s="17"/>
      <c r="L266" s="649">
        <f t="shared" si="5"/>
        <v>759.3</v>
      </c>
    </row>
    <row r="267" spans="2:12" ht="16.5">
      <c r="B267" s="662" t="s">
        <v>683</v>
      </c>
      <c r="C267" s="19"/>
      <c r="D267" s="43">
        <v>7</v>
      </c>
      <c r="E267" s="43" t="s">
        <v>429</v>
      </c>
      <c r="F267" s="43">
        <v>18.399999999999999</v>
      </c>
      <c r="G267" s="20"/>
      <c r="H267" s="21"/>
      <c r="I267" s="35">
        <v>1</v>
      </c>
      <c r="J267" s="22"/>
      <c r="K267" s="17"/>
      <c r="L267" s="649">
        <f t="shared" si="5"/>
        <v>25.4</v>
      </c>
    </row>
    <row r="268" spans="2:12" ht="15">
      <c r="B268" s="662"/>
      <c r="C268" s="19"/>
      <c r="D268" s="34"/>
      <c r="E268" s="34"/>
      <c r="F268" s="34"/>
      <c r="G268" s="20"/>
      <c r="H268" s="21"/>
      <c r="I268" s="35"/>
      <c r="J268" s="22"/>
      <c r="K268" s="17"/>
      <c r="L268" s="649"/>
    </row>
    <row r="269" spans="2:12" ht="15.75">
      <c r="B269" s="695" t="s">
        <v>430</v>
      </c>
      <c r="C269" s="696"/>
      <c r="D269" s="697"/>
      <c r="E269" s="697"/>
      <c r="F269" s="697"/>
      <c r="G269" s="697"/>
      <c r="H269" s="698"/>
      <c r="I269" s="699"/>
      <c r="J269" s="700"/>
      <c r="K269" s="699"/>
      <c r="L269" s="701"/>
    </row>
    <row r="270" spans="2:12" ht="16.5">
      <c r="B270" s="662" t="s">
        <v>684</v>
      </c>
      <c r="C270" s="34"/>
      <c r="D270" s="42">
        <v>152.80000000000001</v>
      </c>
      <c r="E270" s="42">
        <v>3</v>
      </c>
      <c r="F270" s="49" t="s">
        <v>429</v>
      </c>
      <c r="G270" s="49">
        <v>431.1</v>
      </c>
      <c r="H270" s="35"/>
      <c r="I270" s="35">
        <v>1</v>
      </c>
      <c r="J270" s="22"/>
      <c r="K270" s="17"/>
      <c r="L270" s="649">
        <f>+SUM(C270:H270)*I270</f>
        <v>586.90000000000009</v>
      </c>
    </row>
    <row r="271" spans="2:12" ht="16.5">
      <c r="B271" s="662" t="s">
        <v>685</v>
      </c>
      <c r="C271" s="34"/>
      <c r="D271" s="42">
        <v>142.30000000000001</v>
      </c>
      <c r="E271" s="42" t="s">
        <v>429</v>
      </c>
      <c r="F271" s="49" t="s">
        <v>429</v>
      </c>
      <c r="G271" s="49">
        <v>383.5</v>
      </c>
      <c r="H271" s="35"/>
      <c r="I271" s="35">
        <v>1</v>
      </c>
      <c r="J271" s="22"/>
      <c r="K271" s="17"/>
      <c r="L271" s="649">
        <f t="shared" ref="L271:L294" si="6">+SUM(C271:H271)*I271</f>
        <v>525.79999999999995</v>
      </c>
    </row>
    <row r="272" spans="2:12" ht="16.5">
      <c r="B272" s="662" t="s">
        <v>686</v>
      </c>
      <c r="C272" s="34"/>
      <c r="D272" s="42">
        <v>104.4</v>
      </c>
      <c r="E272" s="42">
        <v>3</v>
      </c>
      <c r="F272" s="49" t="s">
        <v>429</v>
      </c>
      <c r="G272" s="49">
        <v>315.8</v>
      </c>
      <c r="H272" s="133" t="str">
        <f>+"7/8"</f>
        <v>7/8</v>
      </c>
      <c r="I272" s="35">
        <v>1</v>
      </c>
      <c r="J272" s="22"/>
      <c r="K272" s="17"/>
      <c r="L272" s="649">
        <f t="shared" si="6"/>
        <v>423.20000000000005</v>
      </c>
    </row>
    <row r="273" spans="2:12" ht="16.5">
      <c r="B273" s="662" t="s">
        <v>687</v>
      </c>
      <c r="C273" s="34"/>
      <c r="D273" s="42">
        <f>+(11+24+22)*1.68*0.56</f>
        <v>53.625599999999999</v>
      </c>
      <c r="E273" s="42"/>
      <c r="F273" s="49">
        <f>+(4.5+5.3)*1.552</f>
        <v>15.209600000000002</v>
      </c>
      <c r="G273" s="49">
        <f>+(2*4.5+2*5.3)*2.235</f>
        <v>43.805999999999997</v>
      </c>
      <c r="H273" s="42">
        <f>+(2*3+2*7.3+3)*3.1</f>
        <v>73.160000000000011</v>
      </c>
      <c r="I273" s="671">
        <v>2</v>
      </c>
      <c r="J273" s="22"/>
      <c r="K273" s="17"/>
      <c r="L273" s="649">
        <f t="shared" si="6"/>
        <v>371.60239999999999</v>
      </c>
    </row>
    <row r="274" spans="2:12" ht="16.5">
      <c r="B274" s="662" t="s">
        <v>688</v>
      </c>
      <c r="C274" s="34"/>
      <c r="D274" s="42">
        <v>23.206400000000002</v>
      </c>
      <c r="E274" s="42"/>
      <c r="F274" s="49"/>
      <c r="G274" s="49">
        <v>78.224999999999994</v>
      </c>
      <c r="H274" s="35"/>
      <c r="I274" s="35">
        <v>6</v>
      </c>
      <c r="J274" s="22"/>
      <c r="K274" s="17"/>
      <c r="L274" s="649">
        <f t="shared" si="6"/>
        <v>608.58839999999998</v>
      </c>
    </row>
    <row r="275" spans="2:12" ht="16.5">
      <c r="B275" s="662" t="s">
        <v>689</v>
      </c>
      <c r="C275" s="34"/>
      <c r="D275" s="42">
        <f>+(11+4+24+22)*1.68*0.56</f>
        <v>57.388799999999996</v>
      </c>
      <c r="E275" s="42"/>
      <c r="F275" s="49">
        <f>+(5.4+5.3)*1.552</f>
        <v>16.606400000000001</v>
      </c>
      <c r="G275" s="49">
        <f>+(2*5.4+2*5.3)*2.235</f>
        <v>47.828999999999994</v>
      </c>
      <c r="H275" s="42">
        <f>+(2*3+2*7.6+3)*3.1</f>
        <v>75.02</v>
      </c>
      <c r="I275" s="671">
        <v>11</v>
      </c>
      <c r="J275" s="22"/>
      <c r="K275" s="17"/>
      <c r="L275" s="649">
        <f>+SUM(C275:H275)*I275</f>
        <v>2165.2862</v>
      </c>
    </row>
    <row r="276" spans="2:12" ht="16.5">
      <c r="B276" s="662" t="s">
        <v>453</v>
      </c>
      <c r="C276" s="34"/>
      <c r="D276" s="42">
        <v>68.8</v>
      </c>
      <c r="E276" s="42">
        <v>3</v>
      </c>
      <c r="F276" s="49" t="s">
        <v>429</v>
      </c>
      <c r="G276" s="49">
        <v>211.8</v>
      </c>
      <c r="H276" s="35"/>
      <c r="I276" s="35">
        <v>1</v>
      </c>
      <c r="J276" s="22"/>
      <c r="K276" s="17"/>
      <c r="L276" s="649">
        <f t="shared" si="6"/>
        <v>283.60000000000002</v>
      </c>
    </row>
    <row r="277" spans="2:12" ht="16.5">
      <c r="B277" s="662" t="s">
        <v>474</v>
      </c>
      <c r="C277" s="34"/>
      <c r="D277" s="42">
        <v>71.5</v>
      </c>
      <c r="E277" s="42" t="s">
        <v>429</v>
      </c>
      <c r="F277" s="49" t="s">
        <v>429</v>
      </c>
      <c r="G277" s="49">
        <v>198.2</v>
      </c>
      <c r="H277" s="35"/>
      <c r="I277" s="35">
        <v>2</v>
      </c>
      <c r="J277" s="22"/>
      <c r="K277" s="17"/>
      <c r="L277" s="649">
        <f t="shared" si="6"/>
        <v>539.4</v>
      </c>
    </row>
    <row r="278" spans="2:12" ht="16.5">
      <c r="B278" s="662" t="s">
        <v>690</v>
      </c>
      <c r="C278" s="34"/>
      <c r="D278" s="42">
        <v>22.4</v>
      </c>
      <c r="E278" s="42" t="s">
        <v>429</v>
      </c>
      <c r="F278" s="49">
        <v>78.099999999999994</v>
      </c>
      <c r="G278" s="49"/>
      <c r="H278" s="671" t="s">
        <v>429</v>
      </c>
      <c r="I278" s="35">
        <v>6</v>
      </c>
      <c r="J278" s="22"/>
      <c r="K278" s="17"/>
      <c r="L278" s="649">
        <f t="shared" si="6"/>
        <v>603</v>
      </c>
    </row>
    <row r="279" spans="2:12" ht="16.5">
      <c r="B279" s="662" t="s">
        <v>691</v>
      </c>
      <c r="C279" s="34"/>
      <c r="D279" s="42">
        <v>20.8</v>
      </c>
      <c r="E279" s="42">
        <v>49.5</v>
      </c>
      <c r="F279" s="49" t="s">
        <v>429</v>
      </c>
      <c r="G279" s="49" t="s">
        <v>429</v>
      </c>
      <c r="H279" s="671" t="s">
        <v>429</v>
      </c>
      <c r="I279" s="35">
        <v>1</v>
      </c>
      <c r="J279" s="22"/>
      <c r="K279" s="17"/>
      <c r="L279" s="649">
        <f t="shared" si="6"/>
        <v>70.3</v>
      </c>
    </row>
    <row r="280" spans="2:12" ht="16.5">
      <c r="B280" s="662" t="s">
        <v>692</v>
      </c>
      <c r="C280" s="34"/>
      <c r="D280" s="42">
        <v>18.5</v>
      </c>
      <c r="E280" s="42" t="s">
        <v>429</v>
      </c>
      <c r="F280" s="49">
        <v>62.7</v>
      </c>
      <c r="G280" s="49"/>
      <c r="H280" s="671" t="s">
        <v>429</v>
      </c>
      <c r="I280" s="35">
        <v>6</v>
      </c>
      <c r="J280" s="22"/>
      <c r="K280" s="17"/>
      <c r="L280" s="649">
        <f t="shared" si="6"/>
        <v>487.20000000000005</v>
      </c>
    </row>
    <row r="281" spans="2:12" ht="16.5">
      <c r="B281" s="662" t="s">
        <v>693</v>
      </c>
      <c r="C281" s="34"/>
      <c r="D281" s="42">
        <v>17.8</v>
      </c>
      <c r="E281" s="42">
        <v>39.799999999999997</v>
      </c>
      <c r="F281" s="49" t="s">
        <v>429</v>
      </c>
      <c r="G281" s="49" t="s">
        <v>429</v>
      </c>
      <c r="H281" s="671" t="s">
        <v>429</v>
      </c>
      <c r="I281" s="35">
        <v>1</v>
      </c>
      <c r="J281" s="22"/>
      <c r="K281" s="17"/>
      <c r="L281" s="649">
        <f t="shared" si="6"/>
        <v>57.599999999999994</v>
      </c>
    </row>
    <row r="282" spans="2:12" ht="16.5">
      <c r="B282" s="662" t="s">
        <v>694</v>
      </c>
      <c r="C282" s="34"/>
      <c r="D282" s="42">
        <v>41.7</v>
      </c>
      <c r="E282" s="42" t="s">
        <v>429</v>
      </c>
      <c r="F282" s="49">
        <v>144.5</v>
      </c>
      <c r="G282" s="49"/>
      <c r="H282" s="671" t="s">
        <v>429</v>
      </c>
      <c r="I282" s="35">
        <v>6</v>
      </c>
      <c r="J282" s="22"/>
      <c r="K282" s="17"/>
      <c r="L282" s="649">
        <f t="shared" si="6"/>
        <v>1117.1999999999998</v>
      </c>
    </row>
    <row r="283" spans="2:12" ht="16.5">
      <c r="B283" s="662" t="s">
        <v>695</v>
      </c>
      <c r="C283" s="34"/>
      <c r="D283" s="42">
        <v>20.7</v>
      </c>
      <c r="E283" s="42">
        <v>49.7</v>
      </c>
      <c r="F283" s="49" t="s">
        <v>429</v>
      </c>
      <c r="G283" s="49"/>
      <c r="H283" s="671" t="s">
        <v>429</v>
      </c>
      <c r="I283" s="35">
        <v>1</v>
      </c>
      <c r="J283" s="22"/>
      <c r="K283" s="17"/>
      <c r="L283" s="649">
        <f t="shared" si="6"/>
        <v>70.400000000000006</v>
      </c>
    </row>
    <row r="284" spans="2:12" ht="16.5">
      <c r="B284" s="662" t="s">
        <v>696</v>
      </c>
      <c r="C284" s="34"/>
      <c r="D284" s="42">
        <v>18.5</v>
      </c>
      <c r="E284" s="42" t="s">
        <v>429</v>
      </c>
      <c r="F284" s="49">
        <v>62.7</v>
      </c>
      <c r="G284" s="49"/>
      <c r="H284" s="671" t="s">
        <v>429</v>
      </c>
      <c r="I284" s="35">
        <v>6</v>
      </c>
      <c r="J284" s="22"/>
      <c r="K284" s="17"/>
      <c r="L284" s="649">
        <f t="shared" si="6"/>
        <v>487.20000000000005</v>
      </c>
    </row>
    <row r="285" spans="2:12" ht="16.5">
      <c r="B285" s="662" t="s">
        <v>697</v>
      </c>
      <c r="C285" s="34"/>
      <c r="D285" s="42">
        <v>17.8</v>
      </c>
      <c r="E285" s="42">
        <v>39.799999999999997</v>
      </c>
      <c r="F285" s="49" t="s">
        <v>429</v>
      </c>
      <c r="G285" s="49" t="s">
        <v>429</v>
      </c>
      <c r="H285" s="671" t="s">
        <v>429</v>
      </c>
      <c r="I285" s="35">
        <v>1</v>
      </c>
      <c r="J285" s="22"/>
      <c r="K285" s="17"/>
      <c r="L285" s="649">
        <f t="shared" si="6"/>
        <v>57.599999999999994</v>
      </c>
    </row>
    <row r="286" spans="2:12" ht="16.5">
      <c r="B286" s="662" t="s">
        <v>698</v>
      </c>
      <c r="C286" s="34"/>
      <c r="D286" s="42">
        <v>22.4</v>
      </c>
      <c r="E286" s="42" t="s">
        <v>429</v>
      </c>
      <c r="F286" s="49">
        <v>78.099999999999994</v>
      </c>
      <c r="G286" s="49"/>
      <c r="H286" s="671" t="s">
        <v>429</v>
      </c>
      <c r="I286" s="35">
        <v>6</v>
      </c>
      <c r="J286" s="22"/>
      <c r="K286" s="17"/>
      <c r="L286" s="649">
        <f t="shared" si="6"/>
        <v>603</v>
      </c>
    </row>
    <row r="287" spans="2:12" ht="16.5">
      <c r="B287" s="662" t="s">
        <v>699</v>
      </c>
      <c r="C287" s="34"/>
      <c r="D287" s="42">
        <v>20.8</v>
      </c>
      <c r="E287" s="42">
        <v>49.7</v>
      </c>
      <c r="F287" s="49" t="s">
        <v>429</v>
      </c>
      <c r="G287" s="49" t="s">
        <v>429</v>
      </c>
      <c r="H287" s="671" t="s">
        <v>429</v>
      </c>
      <c r="I287" s="35">
        <v>1</v>
      </c>
      <c r="J287" s="22"/>
      <c r="K287" s="17"/>
      <c r="L287" s="649">
        <f t="shared" si="6"/>
        <v>70.5</v>
      </c>
    </row>
    <row r="288" spans="2:12" ht="16.5">
      <c r="B288" s="662" t="s">
        <v>652</v>
      </c>
      <c r="C288" s="33"/>
      <c r="D288" s="42">
        <f>6*2.05*0.56</f>
        <v>6.8879999999999999</v>
      </c>
      <c r="E288" s="42"/>
      <c r="F288" s="49"/>
      <c r="G288" s="49"/>
      <c r="H288" s="672"/>
      <c r="I288" s="35">
        <f>270</f>
        <v>270</v>
      </c>
      <c r="J288" s="22"/>
      <c r="K288" s="17"/>
      <c r="L288" s="649">
        <f t="shared" si="6"/>
        <v>1859.76</v>
      </c>
    </row>
    <row r="289" spans="2:12" ht="16.5">
      <c r="B289" s="662" t="s">
        <v>653</v>
      </c>
      <c r="C289" s="33"/>
      <c r="D289" s="42">
        <f>3*6*10*0.56</f>
        <v>100.80000000000001</v>
      </c>
      <c r="E289" s="42"/>
      <c r="F289" s="42"/>
      <c r="G289" s="42"/>
      <c r="H289" s="673"/>
      <c r="I289" s="35">
        <v>6</v>
      </c>
      <c r="J289" s="22"/>
      <c r="K289" s="17"/>
      <c r="L289" s="649">
        <f t="shared" si="6"/>
        <v>604.80000000000007</v>
      </c>
    </row>
    <row r="290" spans="2:12" ht="16.5">
      <c r="B290" s="662" t="s">
        <v>654</v>
      </c>
      <c r="C290" s="33"/>
      <c r="D290" s="42">
        <f>420*3.4*0.56</f>
        <v>799.68000000000006</v>
      </c>
      <c r="E290" s="42"/>
      <c r="F290" s="42"/>
      <c r="G290" s="42"/>
      <c r="H290" s="673"/>
      <c r="I290" s="35">
        <v>1</v>
      </c>
      <c r="J290" s="22"/>
      <c r="K290" s="17"/>
      <c r="L290" s="649">
        <f t="shared" si="6"/>
        <v>799.68000000000006</v>
      </c>
    </row>
    <row r="291" spans="2:12" ht="16.5">
      <c r="B291" s="662" t="s">
        <v>655</v>
      </c>
      <c r="C291" s="33"/>
      <c r="D291" s="42">
        <f>11*13*6*0.56</f>
        <v>480.48</v>
      </c>
      <c r="E291" s="42"/>
      <c r="F291" s="42"/>
      <c r="G291" s="42"/>
      <c r="H291" s="673"/>
      <c r="I291" s="35">
        <v>1</v>
      </c>
      <c r="J291" s="22"/>
      <c r="K291" s="17"/>
      <c r="L291" s="649">
        <f t="shared" si="6"/>
        <v>480.48</v>
      </c>
    </row>
    <row r="292" spans="2:12" ht="16.5">
      <c r="B292" s="702" t="s">
        <v>433</v>
      </c>
      <c r="C292" s="33">
        <f>21*18.8</f>
        <v>394.8</v>
      </c>
      <c r="D292" s="42"/>
      <c r="E292" s="42"/>
      <c r="F292" s="49"/>
      <c r="G292" s="49"/>
      <c r="H292" s="673"/>
      <c r="I292" s="35">
        <v>1</v>
      </c>
      <c r="J292" s="22"/>
      <c r="K292" s="17"/>
      <c r="L292" s="649">
        <f t="shared" si="6"/>
        <v>394.8</v>
      </c>
    </row>
    <row r="293" spans="2:12" ht="16.5">
      <c r="B293" s="702" t="s">
        <v>656</v>
      </c>
      <c r="C293" s="33">
        <f>15*29.3</f>
        <v>439.5</v>
      </c>
      <c r="D293" s="42"/>
      <c r="E293" s="42"/>
      <c r="F293" s="49"/>
      <c r="G293" s="49"/>
      <c r="H293" s="673"/>
      <c r="I293" s="35">
        <v>1</v>
      </c>
      <c r="J293" s="22"/>
      <c r="K293" s="17"/>
      <c r="L293" s="649">
        <f>+SUM(C293:H293)*I293</f>
        <v>439.5</v>
      </c>
    </row>
    <row r="294" spans="2:12" ht="16.5">
      <c r="B294" s="703" t="s">
        <v>657</v>
      </c>
      <c r="C294" s="33"/>
      <c r="D294" s="42">
        <f>1.75*4*0.56</f>
        <v>3.9200000000000004</v>
      </c>
      <c r="E294" s="42">
        <f>2.3*2</f>
        <v>4.5999999999999996</v>
      </c>
      <c r="F294" s="49"/>
      <c r="G294" s="49"/>
      <c r="H294" s="673"/>
      <c r="I294" s="35">
        <f>6*17</f>
        <v>102</v>
      </c>
      <c r="J294" s="22"/>
      <c r="K294" s="17"/>
      <c r="L294" s="649">
        <f t="shared" si="6"/>
        <v>869.04</v>
      </c>
    </row>
    <row r="295" spans="2:12" ht="15">
      <c r="B295" s="704"/>
      <c r="C295" s="156"/>
      <c r="D295" s="156"/>
      <c r="E295" s="157"/>
      <c r="F295" s="158"/>
      <c r="G295" s="157"/>
      <c r="H295" s="159"/>
      <c r="I295" s="160"/>
      <c r="J295" s="161"/>
      <c r="K295" s="162"/>
      <c r="L295" s="705"/>
    </row>
    <row r="296" spans="2:12" ht="15.75">
      <c r="B296" s="658" t="s">
        <v>700</v>
      </c>
      <c r="C296" s="19"/>
      <c r="D296" s="20"/>
      <c r="E296" s="20"/>
      <c r="F296" s="20"/>
      <c r="G296" s="20"/>
      <c r="H296" s="21"/>
      <c r="I296" s="17"/>
      <c r="J296" s="22"/>
      <c r="K296" s="17"/>
      <c r="L296" s="649"/>
    </row>
    <row r="297" spans="2:12" ht="16.5">
      <c r="B297" s="706" t="s">
        <v>434</v>
      </c>
      <c r="C297" s="43">
        <f>36*29.3</f>
        <v>1054.8</v>
      </c>
      <c r="D297" s="43"/>
      <c r="E297" s="42"/>
      <c r="F297" s="42"/>
      <c r="G297" s="49"/>
      <c r="H297" s="21"/>
      <c r="I297" s="17">
        <v>1</v>
      </c>
      <c r="J297" s="22"/>
      <c r="K297" s="17"/>
      <c r="L297" s="649">
        <f>+SUM(C297:H297)*I297</f>
        <v>1054.8</v>
      </c>
    </row>
    <row r="298" spans="2:12" ht="16.5">
      <c r="B298" s="670" t="s">
        <v>658</v>
      </c>
      <c r="C298" s="43"/>
      <c r="D298" s="43"/>
      <c r="E298" s="42">
        <f>91*1.2*0.56+3*0.9*0.56*22*2</f>
        <v>127.68</v>
      </c>
      <c r="F298" s="49">
        <f>+(0.9+1.7+2+10)*7</f>
        <v>102.2</v>
      </c>
      <c r="G298" s="42">
        <f>4.5*1.552*7</f>
        <v>48.887999999999998</v>
      </c>
      <c r="H298" s="21"/>
      <c r="I298" s="17">
        <v>12</v>
      </c>
      <c r="J298" s="22"/>
      <c r="K298" s="17"/>
      <c r="L298" s="649">
        <f>+SUM(C298:H298)*I298</f>
        <v>3345.2159999999994</v>
      </c>
    </row>
    <row r="299" spans="2:12" ht="15.75">
      <c r="B299" s="707"/>
      <c r="C299" s="72"/>
      <c r="D299" s="169"/>
      <c r="E299" s="169"/>
      <c r="F299" s="169"/>
      <c r="G299" s="169"/>
      <c r="H299" s="159"/>
      <c r="I299" s="162"/>
      <c r="J299" s="161"/>
      <c r="K299" s="162"/>
      <c r="L299" s="705"/>
    </row>
    <row r="300" spans="2:12" ht="15.75">
      <c r="B300" s="658" t="s">
        <v>701</v>
      </c>
      <c r="C300" s="19"/>
      <c r="D300" s="20"/>
      <c r="E300" s="20"/>
      <c r="F300" s="20"/>
      <c r="G300" s="20"/>
      <c r="H300" s="21"/>
      <c r="I300" s="17"/>
      <c r="J300" s="22"/>
      <c r="K300" s="17"/>
      <c r="L300" s="649"/>
    </row>
    <row r="301" spans="2:12" ht="15.75">
      <c r="B301" s="658" t="s">
        <v>435</v>
      </c>
      <c r="C301" s="19"/>
      <c r="D301" s="20"/>
      <c r="E301" s="20"/>
      <c r="F301" s="20"/>
      <c r="G301" s="20"/>
      <c r="H301" s="21"/>
      <c r="I301" s="17"/>
      <c r="J301" s="22"/>
      <c r="K301" s="17"/>
      <c r="L301" s="649"/>
    </row>
    <row r="302" spans="2:12" ht="15">
      <c r="B302" s="662" t="s">
        <v>702</v>
      </c>
      <c r="C302" s="19"/>
      <c r="D302" s="20"/>
      <c r="E302" s="34">
        <f>2*22</f>
        <v>44</v>
      </c>
      <c r="F302" s="20"/>
      <c r="G302" s="20"/>
      <c r="H302" s="21"/>
      <c r="I302" s="35">
        <v>8</v>
      </c>
      <c r="J302" s="22"/>
      <c r="K302" s="17"/>
      <c r="L302" s="649">
        <f>+SUM(C302:H302)*I302</f>
        <v>352</v>
      </c>
    </row>
    <row r="303" spans="2:12" ht="15">
      <c r="B303" s="662" t="s">
        <v>703</v>
      </c>
      <c r="C303" s="19"/>
      <c r="D303" s="20"/>
      <c r="E303" s="34">
        <f>2.35*26</f>
        <v>61.1</v>
      </c>
      <c r="F303" s="20"/>
      <c r="G303" s="20"/>
      <c r="H303" s="21"/>
      <c r="I303" s="35">
        <v>4</v>
      </c>
      <c r="J303" s="22"/>
      <c r="K303" s="17"/>
      <c r="L303" s="649">
        <f t="shared" ref="L303:L304" si="7">+SUM(C303:H303)*I303</f>
        <v>244.4</v>
      </c>
    </row>
    <row r="304" spans="2:12" ht="15">
      <c r="B304" s="662" t="s">
        <v>704</v>
      </c>
      <c r="C304" s="19"/>
      <c r="D304" s="20"/>
      <c r="E304" s="34">
        <f>2.85*32</f>
        <v>91.2</v>
      </c>
      <c r="F304" s="20"/>
      <c r="G304" s="20"/>
      <c r="H304" s="21"/>
      <c r="I304" s="35">
        <v>4</v>
      </c>
      <c r="J304" s="22"/>
      <c r="K304" s="17"/>
      <c r="L304" s="649">
        <f t="shared" si="7"/>
        <v>364.8</v>
      </c>
    </row>
    <row r="305" spans="2:12" ht="15.75">
      <c r="B305" s="658"/>
      <c r="C305" s="19"/>
      <c r="D305" s="20"/>
      <c r="E305" s="20"/>
      <c r="F305" s="20"/>
      <c r="G305" s="20"/>
      <c r="H305" s="21"/>
      <c r="I305" s="17"/>
      <c r="J305" s="22"/>
      <c r="K305" s="17"/>
      <c r="L305" s="649"/>
    </row>
    <row r="306" spans="2:12" ht="15.75">
      <c r="B306" s="658" t="s">
        <v>428</v>
      </c>
      <c r="C306" s="19"/>
      <c r="D306" s="20"/>
      <c r="E306" s="20"/>
      <c r="F306" s="20"/>
      <c r="G306" s="20"/>
      <c r="H306" s="133" t="str">
        <f>+"7/8"</f>
        <v>7/8</v>
      </c>
      <c r="I306" s="17"/>
      <c r="J306" s="22"/>
      <c r="K306" s="17"/>
      <c r="L306" s="649"/>
    </row>
    <row r="307" spans="2:12" ht="15">
      <c r="B307" s="662" t="s">
        <v>467</v>
      </c>
      <c r="C307" s="19"/>
      <c r="D307" s="33">
        <f>(23+6+6+6+5)*1.28*0.56</f>
        <v>32.972800000000007</v>
      </c>
      <c r="E307" s="34">
        <f>4*6.7*1</f>
        <v>26.8</v>
      </c>
      <c r="F307" s="33">
        <f>4*6.7*1.552</f>
        <v>41.593600000000002</v>
      </c>
      <c r="G307" s="33"/>
      <c r="H307" s="134"/>
      <c r="I307" s="28">
        <v>8</v>
      </c>
      <c r="J307" s="22"/>
      <c r="K307" s="17"/>
      <c r="L307" s="649">
        <f>+SUM(C307:H307)*I307</f>
        <v>810.93119999999999</v>
      </c>
    </row>
    <row r="308" spans="2:12" ht="15">
      <c r="B308" s="662" t="s">
        <v>468</v>
      </c>
      <c r="C308" s="19"/>
      <c r="D308" s="33">
        <f>(23+6+6+6+5)*1.48*0.56+(23+6+6+6+5)*0.45*0.56</f>
        <v>49.716799999999999</v>
      </c>
      <c r="E308" s="35"/>
      <c r="F308" s="34"/>
      <c r="G308" s="33">
        <f>4*6.7*2.235</f>
        <v>59.897999999999996</v>
      </c>
      <c r="H308" s="33">
        <f>4*6.7*3.042</f>
        <v>81.525599999999997</v>
      </c>
      <c r="I308" s="28">
        <v>8</v>
      </c>
      <c r="J308" s="22"/>
      <c r="K308" s="17"/>
      <c r="L308" s="649">
        <f>+SUM(C308:H308)*I308</f>
        <v>1529.1232</v>
      </c>
    </row>
    <row r="309" spans="2:12" ht="15.75">
      <c r="B309" s="658"/>
      <c r="C309" s="19"/>
      <c r="D309" s="20"/>
      <c r="E309" s="20"/>
      <c r="F309" s="20"/>
      <c r="G309" s="20"/>
      <c r="H309" s="21"/>
      <c r="I309" s="17"/>
      <c r="J309" s="22"/>
      <c r="K309" s="17"/>
      <c r="L309" s="649"/>
    </row>
    <row r="310" spans="2:12" ht="15.75">
      <c r="B310" s="658" t="s">
        <v>605</v>
      </c>
      <c r="C310" s="19"/>
      <c r="D310" s="20"/>
      <c r="E310" s="20"/>
      <c r="F310" s="20"/>
      <c r="G310" s="20"/>
      <c r="H310" s="21"/>
      <c r="I310" s="17"/>
      <c r="J310" s="22"/>
      <c r="K310" s="17"/>
      <c r="L310" s="649"/>
    </row>
    <row r="311" spans="2:12" ht="15">
      <c r="B311" s="662" t="s">
        <v>705</v>
      </c>
      <c r="C311" s="19"/>
      <c r="D311" s="20"/>
      <c r="E311" s="34">
        <v>65.099999999999994</v>
      </c>
      <c r="F311" s="34"/>
      <c r="G311" s="34">
        <v>134.80000000000001</v>
      </c>
      <c r="H311" s="21"/>
      <c r="I311" s="35">
        <v>4</v>
      </c>
      <c r="J311" s="22"/>
      <c r="K311" s="17"/>
      <c r="L311" s="649">
        <f t="shared" ref="L311:L324" si="8">+SUM(C311:H311)*I311</f>
        <v>799.6</v>
      </c>
    </row>
    <row r="312" spans="2:12" ht="15">
      <c r="B312" s="662" t="s">
        <v>706</v>
      </c>
      <c r="C312" s="19"/>
      <c r="D312" s="20"/>
      <c r="E312" s="34">
        <v>13.4</v>
      </c>
      <c r="F312" s="34"/>
      <c r="G312" s="34">
        <v>29.4</v>
      </c>
      <c r="H312" s="21"/>
      <c r="I312" s="35">
        <v>6</v>
      </c>
      <c r="J312" s="22"/>
      <c r="K312" s="17"/>
      <c r="L312" s="649">
        <f t="shared" si="8"/>
        <v>256.79999999999995</v>
      </c>
    </row>
    <row r="313" spans="2:12" ht="15">
      <c r="B313" s="662" t="s">
        <v>707</v>
      </c>
      <c r="C313" s="19"/>
      <c r="D313" s="20"/>
      <c r="E313" s="34">
        <v>21.5</v>
      </c>
      <c r="F313" s="34"/>
      <c r="G313" s="34">
        <v>46.4</v>
      </c>
      <c r="H313" s="21"/>
      <c r="I313" s="35">
        <v>2</v>
      </c>
      <c r="J313" s="22"/>
      <c r="K313" s="17"/>
      <c r="L313" s="649">
        <f t="shared" si="8"/>
        <v>135.80000000000001</v>
      </c>
    </row>
    <row r="314" spans="2:12" ht="15">
      <c r="B314" s="662" t="s">
        <v>708</v>
      </c>
      <c r="C314" s="19"/>
      <c r="D314" s="20"/>
      <c r="E314" s="33">
        <f>0.8*9*0.56</f>
        <v>4.0320000000000009</v>
      </c>
      <c r="F314" s="36">
        <f>4*1.5*1</f>
        <v>6</v>
      </c>
      <c r="G314" s="34"/>
      <c r="H314" s="21"/>
      <c r="I314" s="35">
        <v>2</v>
      </c>
      <c r="J314" s="22"/>
      <c r="K314" s="17"/>
      <c r="L314" s="649">
        <f t="shared" si="8"/>
        <v>20.064</v>
      </c>
    </row>
    <row r="315" spans="2:12" ht="15.75">
      <c r="B315" s="658"/>
      <c r="C315" s="19"/>
      <c r="D315" s="20"/>
      <c r="E315" s="20"/>
      <c r="F315" s="20"/>
      <c r="G315" s="20"/>
      <c r="H315" s="21"/>
      <c r="I315" s="17"/>
      <c r="J315" s="22"/>
      <c r="K315" s="17"/>
      <c r="L315" s="649"/>
    </row>
    <row r="316" spans="2:12" ht="15.75">
      <c r="B316" s="658" t="s">
        <v>430</v>
      </c>
      <c r="C316" s="19"/>
      <c r="D316" s="20"/>
      <c r="E316" s="20"/>
      <c r="F316" s="20"/>
      <c r="G316" s="20"/>
      <c r="H316" s="21"/>
      <c r="I316" s="17"/>
      <c r="J316" s="22"/>
      <c r="K316" s="17"/>
      <c r="L316" s="649"/>
    </row>
    <row r="317" spans="2:12" ht="15">
      <c r="B317" s="662" t="s">
        <v>475</v>
      </c>
      <c r="C317" s="19"/>
      <c r="D317" s="34">
        <v>26.2</v>
      </c>
      <c r="E317" s="34">
        <v>8.9</v>
      </c>
      <c r="F317" s="34">
        <v>28.1</v>
      </c>
      <c r="G317" s="34">
        <v>37</v>
      </c>
      <c r="H317" s="35" t="s">
        <v>429</v>
      </c>
      <c r="I317" s="32">
        <v>2</v>
      </c>
      <c r="J317" s="22"/>
      <c r="K317" s="17"/>
      <c r="L317" s="649">
        <f t="shared" si="8"/>
        <v>200.4</v>
      </c>
    </row>
    <row r="318" spans="2:12" ht="15">
      <c r="B318" s="662" t="s">
        <v>709</v>
      </c>
      <c r="C318" s="19"/>
      <c r="D318" s="34">
        <v>74.599999999999994</v>
      </c>
      <c r="E318" s="35" t="s">
        <v>429</v>
      </c>
      <c r="F318" s="35" t="s">
        <v>429</v>
      </c>
      <c r="G318" s="34">
        <v>232.3</v>
      </c>
      <c r="H318" s="34">
        <v>18.3</v>
      </c>
      <c r="I318" s="32">
        <v>4</v>
      </c>
      <c r="J318" s="22"/>
      <c r="K318" s="17"/>
      <c r="L318" s="649">
        <f t="shared" si="8"/>
        <v>1300.8</v>
      </c>
    </row>
    <row r="319" spans="2:12" ht="15">
      <c r="B319" s="662" t="s">
        <v>710</v>
      </c>
      <c r="C319" s="19"/>
      <c r="D319" s="34">
        <v>13.9</v>
      </c>
      <c r="E319" s="34">
        <v>9.4</v>
      </c>
      <c r="F319" s="34">
        <v>30</v>
      </c>
      <c r="G319" s="35" t="s">
        <v>429</v>
      </c>
      <c r="H319" s="35" t="s">
        <v>429</v>
      </c>
      <c r="I319" s="32">
        <v>6</v>
      </c>
      <c r="J319" s="22"/>
      <c r="K319" s="17"/>
      <c r="L319" s="649">
        <f t="shared" si="8"/>
        <v>319.79999999999995</v>
      </c>
    </row>
    <row r="320" spans="2:12" ht="15">
      <c r="B320" s="662" t="s">
        <v>711</v>
      </c>
      <c r="C320" s="19"/>
      <c r="D320" s="34">
        <v>30.1</v>
      </c>
      <c r="E320" s="35" t="s">
        <v>429</v>
      </c>
      <c r="F320" s="35" t="s">
        <v>429</v>
      </c>
      <c r="G320" s="34">
        <v>80.8</v>
      </c>
      <c r="H320" s="35" t="s">
        <v>429</v>
      </c>
      <c r="I320" s="32">
        <v>4</v>
      </c>
      <c r="J320" s="22"/>
      <c r="K320" s="17"/>
      <c r="L320" s="649">
        <f t="shared" si="8"/>
        <v>443.6</v>
      </c>
    </row>
    <row r="321" spans="2:12" ht="15">
      <c r="B321" s="662" t="s">
        <v>712</v>
      </c>
      <c r="C321" s="19"/>
      <c r="D321" s="34">
        <v>28.1</v>
      </c>
      <c r="E321" s="34">
        <v>14.8</v>
      </c>
      <c r="F321" s="34">
        <v>47</v>
      </c>
      <c r="G321" s="35" t="s">
        <v>429</v>
      </c>
      <c r="H321" s="35" t="s">
        <v>429</v>
      </c>
      <c r="I321" s="32">
        <v>2</v>
      </c>
      <c r="J321" s="22"/>
      <c r="K321" s="17"/>
      <c r="L321" s="649">
        <f t="shared" si="8"/>
        <v>179.8</v>
      </c>
    </row>
    <row r="322" spans="2:12" ht="15.75">
      <c r="B322" s="658"/>
      <c r="C322" s="19"/>
      <c r="D322" s="20"/>
      <c r="E322" s="20"/>
      <c r="F322" s="20"/>
      <c r="G322" s="20"/>
      <c r="H322" s="21"/>
      <c r="I322" s="17"/>
      <c r="J322" s="22"/>
      <c r="K322" s="17"/>
      <c r="L322" s="649">
        <f t="shared" si="8"/>
        <v>0</v>
      </c>
    </row>
    <row r="323" spans="2:12" ht="15.75">
      <c r="B323" s="658" t="s">
        <v>437</v>
      </c>
      <c r="C323" s="19"/>
      <c r="D323" s="20"/>
      <c r="E323" s="20"/>
      <c r="F323" s="20"/>
      <c r="G323" s="20"/>
      <c r="H323" s="21"/>
      <c r="I323" s="17"/>
      <c r="J323" s="22"/>
      <c r="K323" s="17"/>
      <c r="L323" s="649">
        <f t="shared" si="8"/>
        <v>0</v>
      </c>
    </row>
    <row r="324" spans="2:12" ht="15">
      <c r="B324" s="678" t="s">
        <v>434</v>
      </c>
      <c r="C324" s="34">
        <f>7*29.3</f>
        <v>205.1</v>
      </c>
      <c r="D324" s="20"/>
      <c r="E324" s="20"/>
      <c r="F324" s="20"/>
      <c r="G324" s="20"/>
      <c r="H324" s="21"/>
      <c r="I324" s="28">
        <v>2</v>
      </c>
      <c r="J324" s="22"/>
      <c r="K324" s="17"/>
      <c r="L324" s="649">
        <f t="shared" si="8"/>
        <v>410.2</v>
      </c>
    </row>
    <row r="325" spans="2:12" ht="15">
      <c r="B325" s="678" t="s">
        <v>713</v>
      </c>
      <c r="C325" s="34">
        <f>75.1*9</f>
        <v>675.9</v>
      </c>
      <c r="D325" s="20"/>
      <c r="E325" s="20"/>
      <c r="F325" s="20"/>
      <c r="G325" s="20"/>
      <c r="H325" s="21"/>
      <c r="I325" s="28">
        <v>4</v>
      </c>
      <c r="J325" s="22"/>
      <c r="K325" s="17"/>
      <c r="L325" s="649">
        <f>+SUM(C325:H325)*I325</f>
        <v>2703.6</v>
      </c>
    </row>
    <row r="326" spans="2:12" ht="15.75">
      <c r="B326" s="658"/>
      <c r="C326" s="19"/>
      <c r="D326" s="20"/>
      <c r="E326" s="20"/>
      <c r="F326" s="20"/>
      <c r="G326" s="20"/>
      <c r="H326" s="21"/>
      <c r="I326" s="17"/>
      <c r="J326" s="22"/>
      <c r="K326" s="17"/>
      <c r="L326" s="649"/>
    </row>
    <row r="327" spans="2:12" ht="15.75">
      <c r="B327" s="658" t="s">
        <v>714</v>
      </c>
      <c r="C327" s="19"/>
      <c r="D327" s="20"/>
      <c r="E327" s="20"/>
      <c r="F327" s="20"/>
      <c r="G327" s="20"/>
      <c r="H327" s="21"/>
      <c r="I327" s="17"/>
      <c r="J327" s="22"/>
      <c r="K327" s="17"/>
      <c r="L327" s="649"/>
    </row>
    <row r="328" spans="2:12" ht="15">
      <c r="B328" s="708" t="s">
        <v>782</v>
      </c>
      <c r="C328" s="19"/>
      <c r="D328" s="20"/>
      <c r="E328" s="20"/>
      <c r="F328" s="20">
        <v>102</v>
      </c>
      <c r="G328" s="20"/>
      <c r="H328" s="21"/>
      <c r="I328" s="17"/>
      <c r="J328" s="22">
        <v>20.74</v>
      </c>
      <c r="K328" s="17"/>
      <c r="L328" s="649">
        <f t="shared" ref="L328" si="9">+SUM(C328:H328)*I328</f>
        <v>0</v>
      </c>
    </row>
    <row r="329" spans="2:12" ht="15.75">
      <c r="B329" s="658"/>
      <c r="C329" s="19"/>
      <c r="D329" s="20"/>
      <c r="E329" s="20"/>
      <c r="F329" s="20"/>
      <c r="G329" s="20"/>
      <c r="H329" s="21"/>
      <c r="I329" s="17"/>
      <c r="J329" s="22"/>
      <c r="K329" s="17"/>
      <c r="L329" s="649"/>
    </row>
    <row r="330" spans="2:12" ht="15">
      <c r="B330" s="678"/>
      <c r="C330" s="34"/>
      <c r="D330" s="34"/>
      <c r="E330" s="34"/>
      <c r="F330" s="20"/>
      <c r="G330" s="20"/>
      <c r="H330" s="21"/>
      <c r="I330" s="17"/>
      <c r="J330" s="22"/>
      <c r="K330" s="17"/>
      <c r="L330" s="649"/>
    </row>
    <row r="331" spans="2:12" ht="15">
      <c r="B331" s="709" t="s">
        <v>460</v>
      </c>
      <c r="C331" s="34"/>
      <c r="D331" s="34"/>
      <c r="E331" s="34"/>
      <c r="F331" s="20"/>
      <c r="G331" s="20"/>
      <c r="H331" s="21"/>
      <c r="I331" s="17"/>
      <c r="J331" s="22"/>
      <c r="K331" s="17"/>
      <c r="L331" s="649"/>
    </row>
    <row r="332" spans="2:12" ht="15">
      <c r="B332" s="710" t="s">
        <v>929</v>
      </c>
      <c r="C332" s="34"/>
      <c r="D332" s="34"/>
      <c r="E332" s="34"/>
      <c r="F332" s="20">
        <v>360.8</v>
      </c>
      <c r="G332" s="20"/>
      <c r="H332" s="21"/>
      <c r="I332" s="17"/>
      <c r="J332" s="22">
        <v>20.74</v>
      </c>
      <c r="K332" s="17"/>
      <c r="L332" s="649">
        <f>+F332*J332</f>
        <v>7482.9919999999993</v>
      </c>
    </row>
    <row r="333" spans="2:12" ht="15">
      <c r="B333" s="710" t="s">
        <v>930</v>
      </c>
      <c r="C333" s="34"/>
      <c r="D333" s="34"/>
      <c r="E333" s="34"/>
      <c r="F333" s="20">
        <v>247</v>
      </c>
      <c r="G333" s="20"/>
      <c r="H333" s="21"/>
      <c r="I333" s="17"/>
      <c r="J333" s="22">
        <v>20.74</v>
      </c>
      <c r="K333" s="17"/>
      <c r="L333" s="649">
        <f>+F333*J333</f>
        <v>5122.78</v>
      </c>
    </row>
    <row r="334" spans="2:12" ht="15">
      <c r="B334" s="710" t="s">
        <v>932</v>
      </c>
      <c r="C334" s="34"/>
      <c r="D334" s="34"/>
      <c r="E334" s="34"/>
      <c r="F334" s="20">
        <v>109</v>
      </c>
      <c r="G334" s="20"/>
      <c r="H334" s="21"/>
      <c r="I334" s="17"/>
      <c r="J334" s="22">
        <v>20.74</v>
      </c>
      <c r="K334" s="17"/>
      <c r="L334" s="649">
        <f>+F334*J334</f>
        <v>2260.66</v>
      </c>
    </row>
    <row r="335" spans="2:12" ht="15">
      <c r="B335" s="678"/>
      <c r="C335" s="34"/>
      <c r="D335" s="34"/>
      <c r="E335" s="34"/>
      <c r="F335" s="20"/>
      <c r="G335" s="20"/>
      <c r="H335" s="21"/>
      <c r="I335" s="17"/>
      <c r="J335" s="22"/>
      <c r="K335" s="17"/>
      <c r="L335" s="649"/>
    </row>
    <row r="336" spans="2:12" ht="15">
      <c r="B336" s="709" t="s">
        <v>463</v>
      </c>
      <c r="C336" s="19" t="str">
        <f>+"1/4"</f>
        <v>1/4</v>
      </c>
      <c r="D336" s="20"/>
      <c r="E336" s="20"/>
      <c r="F336" s="20">
        <v>401</v>
      </c>
      <c r="G336" s="20"/>
      <c r="H336" s="21"/>
      <c r="I336" s="17"/>
      <c r="J336" s="22">
        <v>17.53</v>
      </c>
      <c r="K336" s="17"/>
      <c r="L336" s="649">
        <f t="shared" ref="L336" si="10">+F336*J336</f>
        <v>7029.5300000000007</v>
      </c>
    </row>
    <row r="337" spans="2:12" ht="15">
      <c r="B337" s="710" t="s">
        <v>926</v>
      </c>
      <c r="C337" s="20">
        <f>15*0.7*0.25</f>
        <v>2.625</v>
      </c>
      <c r="D337" s="20">
        <f>2.5*4*0.56</f>
        <v>5.6000000000000005</v>
      </c>
      <c r="E337" s="20"/>
      <c r="F337" s="20"/>
      <c r="G337" s="20"/>
      <c r="H337" s="21"/>
      <c r="I337" s="17"/>
      <c r="J337" s="22">
        <v>2</v>
      </c>
      <c r="K337" s="17">
        <v>149</v>
      </c>
      <c r="L337" s="649">
        <f>+SUM(C337:I337)*J337*K337</f>
        <v>2451.0500000000006</v>
      </c>
    </row>
    <row r="338" spans="2:12" ht="15">
      <c r="B338" s="710" t="s">
        <v>927</v>
      </c>
      <c r="C338" s="20"/>
      <c r="D338" s="20">
        <f>1.05*19*0.56</f>
        <v>11.172000000000001</v>
      </c>
      <c r="E338" s="20">
        <f>2.8*6</f>
        <v>16.799999999999997</v>
      </c>
      <c r="F338" s="20"/>
      <c r="G338" s="20"/>
      <c r="H338" s="21"/>
      <c r="I338" s="17"/>
      <c r="J338" s="22"/>
      <c r="K338" s="17">
        <v>149</v>
      </c>
      <c r="L338" s="649">
        <f>+SUM(C338:I338)*K338</f>
        <v>4167.8279999999995</v>
      </c>
    </row>
    <row r="339" spans="2:12" ht="15">
      <c r="B339" s="710" t="s">
        <v>928</v>
      </c>
      <c r="C339" s="20">
        <f>19*0.7*0.25</f>
        <v>3.3249999999999997</v>
      </c>
      <c r="D339" s="20">
        <f>4*2.8*0.56</f>
        <v>6.2720000000000002</v>
      </c>
      <c r="E339" s="20"/>
      <c r="F339" s="20"/>
      <c r="G339" s="20"/>
      <c r="H339" s="21"/>
      <c r="I339" s="17"/>
      <c r="J339" s="22"/>
      <c r="K339" s="17">
        <v>149</v>
      </c>
      <c r="L339" s="649">
        <f>+SUM(C339:I339)*K339</f>
        <v>1429.953</v>
      </c>
    </row>
    <row r="340" spans="2:12" ht="15">
      <c r="B340" s="709"/>
      <c r="C340" s="19"/>
      <c r="D340" s="20"/>
      <c r="E340" s="20"/>
      <c r="F340" s="20"/>
      <c r="G340" s="20"/>
      <c r="H340" s="21"/>
      <c r="I340" s="17"/>
      <c r="J340" s="22"/>
      <c r="K340" s="17"/>
      <c r="L340" s="649"/>
    </row>
    <row r="341" spans="2:12" ht="15">
      <c r="B341" s="709"/>
      <c r="C341" s="19"/>
      <c r="D341" s="20"/>
      <c r="E341" s="20"/>
      <c r="F341" s="20"/>
      <c r="G341" s="20"/>
      <c r="H341" s="21"/>
      <c r="I341" s="17"/>
      <c r="J341" s="22"/>
      <c r="K341" s="17"/>
      <c r="L341" s="649"/>
    </row>
    <row r="342" spans="2:12" ht="15">
      <c r="B342" s="711"/>
      <c r="C342" s="19"/>
      <c r="D342" s="20"/>
      <c r="E342" s="20"/>
      <c r="F342" s="20"/>
      <c r="G342" s="20"/>
      <c r="H342" s="21"/>
      <c r="I342" s="17"/>
      <c r="J342" s="22"/>
      <c r="K342" s="17"/>
      <c r="L342" s="649"/>
    </row>
    <row r="343" spans="2:12" ht="15.75">
      <c r="B343" s="658" t="s">
        <v>438</v>
      </c>
      <c r="C343" s="19"/>
      <c r="D343" s="20"/>
      <c r="E343" s="20"/>
      <c r="F343" s="20"/>
      <c r="G343" s="20"/>
      <c r="H343" s="21"/>
      <c r="I343" s="17"/>
      <c r="J343" s="28"/>
      <c r="K343" s="17"/>
      <c r="L343" s="649"/>
    </row>
    <row r="344" spans="2:12" ht="15.75">
      <c r="B344" s="658" t="s">
        <v>439</v>
      </c>
      <c r="C344" s="19"/>
      <c r="D344" s="20"/>
      <c r="E344" s="20"/>
      <c r="F344" s="20"/>
      <c r="G344" s="20"/>
      <c r="H344" s="21"/>
      <c r="I344" s="17"/>
      <c r="J344" s="28"/>
      <c r="K344" s="17"/>
      <c r="L344" s="649"/>
    </row>
    <row r="345" spans="2:12" ht="15">
      <c r="B345" s="662" t="s">
        <v>717</v>
      </c>
      <c r="C345" s="19"/>
      <c r="D345" s="20"/>
      <c r="E345" s="33">
        <f>3.75*1*17+2.95*23*1</f>
        <v>131.60000000000002</v>
      </c>
      <c r="F345" s="20"/>
      <c r="G345" s="20"/>
      <c r="H345" s="21"/>
      <c r="I345" s="35">
        <v>6</v>
      </c>
      <c r="J345" s="28">
        <v>2</v>
      </c>
      <c r="K345" s="17"/>
      <c r="L345" s="649">
        <f>+SUM(C345:G345)*I345*J345</f>
        <v>1579.2000000000003</v>
      </c>
    </row>
    <row r="346" spans="2:12" ht="15">
      <c r="B346" s="662" t="s">
        <v>718</v>
      </c>
      <c r="C346" s="19"/>
      <c r="D346" s="20"/>
      <c r="E346" s="36">
        <f>1.85*20*1</f>
        <v>37</v>
      </c>
      <c r="F346" s="20"/>
      <c r="G346" s="20"/>
      <c r="H346" s="21"/>
      <c r="I346" s="35">
        <v>2</v>
      </c>
      <c r="J346" s="28">
        <v>2</v>
      </c>
      <c r="K346" s="17"/>
      <c r="L346" s="649">
        <f>+SUM(C346:G346)*I346*J346</f>
        <v>148</v>
      </c>
    </row>
    <row r="347" spans="2:12" ht="15.75">
      <c r="B347" s="692" t="s">
        <v>428</v>
      </c>
      <c r="C347" s="455"/>
      <c r="D347" s="583"/>
      <c r="E347" s="583"/>
      <c r="F347" s="583"/>
      <c r="G347" s="583"/>
      <c r="H347" s="712" t="s">
        <v>442</v>
      </c>
      <c r="I347" s="399"/>
      <c r="J347" s="584"/>
      <c r="K347" s="17"/>
      <c r="L347" s="649"/>
    </row>
    <row r="348" spans="2:12" ht="16.5">
      <c r="B348" s="662" t="s">
        <v>664</v>
      </c>
      <c r="C348" s="19"/>
      <c r="D348" s="42">
        <f>(23+6+12+6+6+6)*1.88*0.56+(23+6+12+6+6+6)*0.55*0.56</f>
        <v>80.287200000000013</v>
      </c>
      <c r="E348" s="34"/>
      <c r="F348" s="34"/>
      <c r="G348" s="42">
        <f>16*7.5*2.235</f>
        <v>268.2</v>
      </c>
      <c r="H348" s="35"/>
      <c r="I348" s="35">
        <v>2</v>
      </c>
      <c r="J348" s="28">
        <v>2</v>
      </c>
      <c r="K348" s="17"/>
      <c r="L348" s="649">
        <f t="shared" ref="L348:L354" si="11">+SUM(C348:G348)*I348*J348</f>
        <v>1393.9488000000001</v>
      </c>
    </row>
    <row r="349" spans="2:12" ht="16.5">
      <c r="B349" s="662" t="s">
        <v>719</v>
      </c>
      <c r="C349" s="19"/>
      <c r="D349" s="42">
        <f>(23+6+6+6+4+18)*1.88*0.56+(23+6+6+6+4+18)*0.55*0.56</f>
        <v>85.730400000000003</v>
      </c>
      <c r="E349" s="35"/>
      <c r="F349" s="34"/>
      <c r="G349" s="42">
        <f>8*7.5*2.235</f>
        <v>134.1</v>
      </c>
      <c r="H349" s="34">
        <f>8*7.5*3.042</f>
        <v>182.51999999999998</v>
      </c>
      <c r="I349" s="35">
        <v>2</v>
      </c>
      <c r="J349" s="28">
        <v>2</v>
      </c>
      <c r="K349" s="17"/>
      <c r="L349" s="649">
        <f t="shared" si="11"/>
        <v>879.32159999999999</v>
      </c>
    </row>
    <row r="350" spans="2:12" ht="16.5">
      <c r="B350" s="662" t="s">
        <v>720</v>
      </c>
      <c r="C350" s="19"/>
      <c r="D350" s="42">
        <f>(23+6+6+6+4+18)*1.5*0.56+(23+6+6+6+4+18)*0.55*0.56</f>
        <v>72.324000000000012</v>
      </c>
      <c r="E350" s="35"/>
      <c r="F350" s="34"/>
      <c r="G350" s="42">
        <f>10*7.5*2.235</f>
        <v>167.625</v>
      </c>
      <c r="H350" s="35"/>
      <c r="I350" s="35">
        <v>2</v>
      </c>
      <c r="J350" s="28">
        <v>2</v>
      </c>
      <c r="K350" s="17"/>
      <c r="L350" s="649">
        <f t="shared" si="11"/>
        <v>959.79600000000005</v>
      </c>
    </row>
    <row r="351" spans="2:12" ht="16.5">
      <c r="B351" s="662" t="s">
        <v>443</v>
      </c>
      <c r="C351" s="19"/>
      <c r="D351" s="42">
        <f>(23+6+6+6+4)*0.88*0.56</f>
        <v>22.176000000000002</v>
      </c>
      <c r="E351" s="36">
        <f>8*5.6*1</f>
        <v>44.8</v>
      </c>
      <c r="F351" s="34"/>
      <c r="G351" s="34"/>
      <c r="H351" s="34"/>
      <c r="I351" s="35">
        <v>2</v>
      </c>
      <c r="J351" s="28">
        <v>2</v>
      </c>
      <c r="K351" s="17"/>
      <c r="L351" s="649">
        <f t="shared" si="11"/>
        <v>267.904</v>
      </c>
    </row>
    <row r="352" spans="2:12" ht="15.75">
      <c r="B352" s="658" t="s">
        <v>436</v>
      </c>
      <c r="C352" s="19"/>
      <c r="D352" s="20"/>
      <c r="E352" s="20"/>
      <c r="F352" s="20"/>
      <c r="G352" s="20"/>
      <c r="H352" s="21"/>
      <c r="I352" s="17"/>
      <c r="J352" s="28"/>
      <c r="K352" s="17"/>
      <c r="L352" s="649"/>
    </row>
    <row r="353" spans="2:12" ht="16.5">
      <c r="B353" s="662" t="s">
        <v>721</v>
      </c>
      <c r="C353" s="19"/>
      <c r="D353" s="42">
        <f>1.44*140*0.56</f>
        <v>112.896</v>
      </c>
      <c r="E353" s="49">
        <f>3*9*1+1*8*1+1*7*1+1*6*1+1*4.4*1</f>
        <v>52.4</v>
      </c>
      <c r="F353" s="42">
        <f>6*9*1.552+2*8*1.552+2*7*1.552*2*6*1.552+2*4.5*1.552</f>
        <v>527.27027199999998</v>
      </c>
      <c r="G353" s="20"/>
      <c r="H353" s="21"/>
      <c r="I353" s="44">
        <v>2</v>
      </c>
      <c r="J353" s="28">
        <v>2</v>
      </c>
      <c r="K353" s="713"/>
      <c r="L353" s="649">
        <f>+SUM(C353:G353)*I353*J353</f>
        <v>2770.2650880000001</v>
      </c>
    </row>
    <row r="354" spans="2:12" ht="16.5">
      <c r="B354" s="662" t="s">
        <v>722</v>
      </c>
      <c r="C354" s="19"/>
      <c r="D354" s="42">
        <f>1.04*25*0.56</f>
        <v>14.560000000000002</v>
      </c>
      <c r="E354" s="49"/>
      <c r="F354" s="42">
        <f>4*5*1.552</f>
        <v>31.04</v>
      </c>
      <c r="G354" s="20"/>
      <c r="H354" s="21"/>
      <c r="I354" s="44">
        <v>1</v>
      </c>
      <c r="J354" s="28">
        <v>2</v>
      </c>
      <c r="K354" s="713"/>
      <c r="L354" s="649">
        <f t="shared" si="11"/>
        <v>91.2</v>
      </c>
    </row>
    <row r="355" spans="2:12" ht="16.5">
      <c r="B355" s="662" t="s">
        <v>723</v>
      </c>
      <c r="C355" s="19"/>
      <c r="D355" s="42">
        <f>1.44*35*0.56</f>
        <v>28.224</v>
      </c>
      <c r="E355" s="49"/>
      <c r="F355" s="42">
        <f>3*5*1.552+3*4*1.552+3*3.5*1.552+3*2.5*1.552</f>
        <v>69.84</v>
      </c>
      <c r="G355" s="20"/>
      <c r="H355" s="21"/>
      <c r="I355" s="44">
        <v>1</v>
      </c>
      <c r="J355" s="28">
        <v>2</v>
      </c>
      <c r="K355" s="713"/>
      <c r="L355" s="649">
        <f>+SUM(C355:G355)*I355*J355</f>
        <v>196.12800000000001</v>
      </c>
    </row>
    <row r="356" spans="2:12" ht="16.5">
      <c r="B356" s="662" t="s">
        <v>724</v>
      </c>
      <c r="C356" s="19"/>
      <c r="D356" s="42">
        <f>1.04*23*0.56</f>
        <v>13.395200000000003</v>
      </c>
      <c r="E356" s="49"/>
      <c r="F356" s="42">
        <f>4*4.8*1.552</f>
        <v>29.798400000000001</v>
      </c>
      <c r="G356" s="20"/>
      <c r="H356" s="21"/>
      <c r="I356" s="44">
        <v>7</v>
      </c>
      <c r="J356" s="28">
        <v>2</v>
      </c>
      <c r="K356" s="713"/>
      <c r="L356" s="649">
        <f>+SUM(C356:G356)*I356*J356</f>
        <v>604.71040000000005</v>
      </c>
    </row>
    <row r="357" spans="2:12" ht="16.5">
      <c r="B357" s="662" t="s">
        <v>708</v>
      </c>
      <c r="C357" s="19"/>
      <c r="D357" s="43">
        <f>9*0.8*0.56</f>
        <v>4.0320000000000009</v>
      </c>
      <c r="E357" s="44">
        <f>4*1.5</f>
        <v>6</v>
      </c>
      <c r="F357" s="43"/>
      <c r="G357" s="20"/>
      <c r="H357" s="21"/>
      <c r="I357" s="44">
        <v>2</v>
      </c>
      <c r="J357" s="28">
        <v>2</v>
      </c>
      <c r="K357" s="713"/>
      <c r="L357" s="649">
        <f>+SUM(C357:G357)*I357*J357</f>
        <v>40.128</v>
      </c>
    </row>
    <row r="358" spans="2:12" ht="15.75">
      <c r="B358" s="714" t="s">
        <v>430</v>
      </c>
      <c r="C358" s="203"/>
      <c r="D358" s="204"/>
      <c r="E358" s="204"/>
      <c r="F358" s="204"/>
      <c r="G358" s="204"/>
      <c r="H358" s="205"/>
      <c r="I358" s="208"/>
      <c r="J358" s="128"/>
      <c r="K358" s="17"/>
      <c r="L358" s="649">
        <f t="shared" ref="L358" si="12">+SUM(C358:G358)*I358</f>
        <v>0</v>
      </c>
    </row>
    <row r="359" spans="2:12" ht="16.5">
      <c r="B359" s="662" t="s">
        <v>725</v>
      </c>
      <c r="C359" s="19"/>
      <c r="D359" s="43"/>
      <c r="E359" s="43">
        <f>1.18*81*0.56</f>
        <v>53.524800000000006</v>
      </c>
      <c r="F359" s="43">
        <f>2*3*1</f>
        <v>6</v>
      </c>
      <c r="G359" s="43">
        <f>2*7*1.552+2*6*1.552+2*5*1.552+2*4.6*1.552+2*4.5*1.552+2*3.1*1.552</f>
        <v>93.740800000000007</v>
      </c>
      <c r="H359" s="21"/>
      <c r="I359" s="35">
        <v>2</v>
      </c>
      <c r="J359" s="28">
        <v>2</v>
      </c>
      <c r="K359" s="17"/>
      <c r="L359" s="649">
        <f>+SUM(C359:G359)*I359*J359</f>
        <v>613.06240000000003</v>
      </c>
    </row>
    <row r="360" spans="2:12" ht="16.5">
      <c r="B360" s="662" t="s">
        <v>726</v>
      </c>
      <c r="C360" s="19"/>
      <c r="D360" s="43"/>
      <c r="E360" s="43">
        <f>1.18*24*0.56</f>
        <v>15.859200000000001</v>
      </c>
      <c r="F360" s="43">
        <f>2*4.7*1</f>
        <v>9.4</v>
      </c>
      <c r="G360" s="43">
        <f>4*4.8*1.552</f>
        <v>29.798400000000001</v>
      </c>
      <c r="H360" s="21"/>
      <c r="I360" s="35">
        <v>2</v>
      </c>
      <c r="J360" s="28">
        <v>2</v>
      </c>
      <c r="K360" s="17"/>
      <c r="L360" s="649">
        <f t="shared" ref="L360:L361" si="13">+SUM(C360:G360)*I360*J360</f>
        <v>220.2304</v>
      </c>
    </row>
    <row r="361" spans="2:12" ht="16.5">
      <c r="B361" s="662" t="s">
        <v>727</v>
      </c>
      <c r="C361" s="19"/>
      <c r="D361" s="43"/>
      <c r="E361" s="43">
        <f>1.08*26*0.56</f>
        <v>15.724800000000002</v>
      </c>
      <c r="F361" s="43">
        <f>4*4.7*1</f>
        <v>18.8</v>
      </c>
      <c r="G361" s="43"/>
      <c r="H361" s="21"/>
      <c r="I361" s="35">
        <v>1</v>
      </c>
      <c r="J361" s="28">
        <v>2</v>
      </c>
      <c r="K361" s="17"/>
      <c r="L361" s="649">
        <f t="shared" si="13"/>
        <v>69.049599999999998</v>
      </c>
    </row>
    <row r="362" spans="2:12" ht="16.5">
      <c r="B362" s="662" t="s">
        <v>728</v>
      </c>
      <c r="C362" s="19"/>
      <c r="D362" s="43">
        <f>0.47*26*0.25</f>
        <v>3.0549999999999997</v>
      </c>
      <c r="E362" s="43"/>
      <c r="F362" s="43">
        <f>2*4.7*1+1*2.5*1</f>
        <v>11.9</v>
      </c>
      <c r="G362" s="43"/>
      <c r="H362" s="21"/>
      <c r="I362" s="35">
        <v>12</v>
      </c>
      <c r="J362" s="28">
        <v>2</v>
      </c>
      <c r="K362" s="17"/>
      <c r="L362" s="649">
        <f>+SUM(C362:G362)*I362*J362</f>
        <v>358.92</v>
      </c>
    </row>
    <row r="363" spans="2:12" ht="15.75">
      <c r="B363" s="715"/>
      <c r="C363" s="61"/>
      <c r="D363" s="202"/>
      <c r="E363" s="202"/>
      <c r="F363" s="202"/>
      <c r="G363" s="202"/>
      <c r="H363" s="64"/>
      <c r="I363" s="130"/>
      <c r="J363" s="28"/>
      <c r="K363" s="17"/>
      <c r="L363" s="649"/>
    </row>
    <row r="364" spans="2:12" ht="15.75">
      <c r="B364" s="692" t="s">
        <v>454</v>
      </c>
      <c r="C364" s="712" t="s">
        <v>455</v>
      </c>
      <c r="D364" s="583"/>
      <c r="E364" s="583"/>
      <c r="F364" s="583"/>
      <c r="G364" s="583"/>
      <c r="H364" s="712" t="s">
        <v>442</v>
      </c>
      <c r="I364" s="399"/>
      <c r="J364" s="584"/>
      <c r="K364" s="399"/>
      <c r="L364" s="693"/>
    </row>
    <row r="365" spans="2:12" ht="16.5">
      <c r="B365" s="662" t="s">
        <v>729</v>
      </c>
      <c r="C365" s="43"/>
      <c r="D365" s="43">
        <f>2.08*79*0.56</f>
        <v>92.019199999999998</v>
      </c>
      <c r="E365" s="43">
        <f>4*6*1</f>
        <v>24</v>
      </c>
      <c r="F365" s="43"/>
      <c r="G365" s="42">
        <f>2*4*2.235</f>
        <v>17.88</v>
      </c>
      <c r="H365" s="44">
        <f>3*12*3.042+3*11*3.042+3*10.5*3.042+6*7*3.042+3*4.5*3.042+2*3.042*4</f>
        <v>498.88800000000003</v>
      </c>
      <c r="I365" s="35">
        <v>2</v>
      </c>
      <c r="J365" s="28">
        <v>2</v>
      </c>
      <c r="K365" s="17"/>
      <c r="L365" s="649">
        <f t="shared" ref="L365:L367" si="14">+SUM(C365:G365)*I365*J365</f>
        <v>535.59680000000003</v>
      </c>
    </row>
    <row r="366" spans="2:12" ht="16.5">
      <c r="B366" s="662" t="s">
        <v>730</v>
      </c>
      <c r="C366" s="43"/>
      <c r="D366" s="43">
        <f>1.78*20*0.56</f>
        <v>19.936000000000003</v>
      </c>
      <c r="E366" s="43"/>
      <c r="F366" s="43">
        <f>1*6.6*1.552</f>
        <v>10.2432</v>
      </c>
      <c r="G366" s="43">
        <f>1*6.7*2.235</f>
        <v>14.974499999999999</v>
      </c>
      <c r="H366" s="44">
        <f>4*6.8*3.042</f>
        <v>82.742399999999989</v>
      </c>
      <c r="I366" s="35">
        <v>5</v>
      </c>
      <c r="J366" s="28">
        <v>2</v>
      </c>
      <c r="K366" s="17"/>
      <c r="L366" s="649">
        <f>+SUM(C366:G366)*I366*J366</f>
        <v>451.53700000000003</v>
      </c>
    </row>
    <row r="367" spans="2:12" ht="16.5">
      <c r="B367" s="662" t="s">
        <v>731</v>
      </c>
      <c r="C367" s="43">
        <f>0.72*78*0.25</f>
        <v>14.04</v>
      </c>
      <c r="D367" s="43"/>
      <c r="E367" s="43">
        <f>7*3*1</f>
        <v>21</v>
      </c>
      <c r="F367" s="43"/>
      <c r="G367" s="42">
        <f>1*9*2.235+3*7*2.235+3*6*2.235+1*4*2.235</f>
        <v>116.22</v>
      </c>
      <c r="H367" s="44">
        <f>3*6*3.973</f>
        <v>71.513999999999996</v>
      </c>
      <c r="I367" s="35">
        <v>2</v>
      </c>
      <c r="J367" s="28">
        <v>2</v>
      </c>
      <c r="K367" s="17"/>
      <c r="L367" s="649">
        <f t="shared" si="14"/>
        <v>605.04</v>
      </c>
    </row>
    <row r="368" spans="2:12" ht="15">
      <c r="B368" s="690"/>
      <c r="C368" s="61"/>
      <c r="D368" s="127"/>
      <c r="E368" s="127"/>
      <c r="F368" s="206"/>
      <c r="G368" s="131"/>
      <c r="H368" s="207" t="s">
        <v>862</v>
      </c>
      <c r="I368" s="132"/>
      <c r="J368" s="128"/>
      <c r="K368" s="130"/>
      <c r="L368" s="691"/>
    </row>
    <row r="369" spans="2:13" ht="15">
      <c r="B369" s="662"/>
      <c r="C369" s="19"/>
      <c r="D369" s="20"/>
      <c r="E369" s="20"/>
      <c r="F369" s="20"/>
      <c r="G369" s="20"/>
      <c r="H369" s="33"/>
      <c r="I369" s="17"/>
      <c r="J369" s="28"/>
      <c r="K369" s="17"/>
      <c r="L369" s="649"/>
    </row>
    <row r="370" spans="2:13" ht="15.75">
      <c r="B370" s="658" t="s">
        <v>437</v>
      </c>
      <c r="C370" s="19"/>
      <c r="D370" s="20"/>
      <c r="E370" s="20"/>
      <c r="F370" s="20"/>
      <c r="G370" s="20"/>
      <c r="H370" s="21"/>
      <c r="I370" s="17"/>
      <c r="J370" s="28"/>
      <c r="K370" s="17"/>
      <c r="L370" s="649"/>
    </row>
    <row r="371" spans="2:13" ht="16.5">
      <c r="B371" s="678" t="s">
        <v>434</v>
      </c>
      <c r="C371" s="43">
        <f>12*29.3</f>
        <v>351.6</v>
      </c>
      <c r="D371" s="43"/>
      <c r="E371" s="42"/>
      <c r="F371" s="42"/>
      <c r="G371" s="49"/>
      <c r="H371" s="21"/>
      <c r="I371" s="28">
        <v>1</v>
      </c>
      <c r="J371" s="28">
        <v>2</v>
      </c>
      <c r="K371" s="17"/>
      <c r="L371" s="649">
        <f>+SUM(C371:G371)*I371*J371</f>
        <v>703.2</v>
      </c>
    </row>
    <row r="372" spans="2:13" ht="16.5">
      <c r="B372" s="678" t="s">
        <v>732</v>
      </c>
      <c r="C372" s="43">
        <f>18.81*8</f>
        <v>150.47999999999999</v>
      </c>
      <c r="D372" s="43"/>
      <c r="E372" s="42"/>
      <c r="F372" s="49"/>
      <c r="G372" s="42"/>
      <c r="H372" s="21"/>
      <c r="I372" s="28">
        <v>1</v>
      </c>
      <c r="J372" s="22">
        <v>2</v>
      </c>
      <c r="K372" s="17"/>
      <c r="L372" s="649">
        <f t="shared" ref="L372:L391" si="15">+SUM(C372:G372)*I372*J372</f>
        <v>300.95999999999998</v>
      </c>
    </row>
    <row r="373" spans="2:13" ht="16.5">
      <c r="B373" s="678" t="s">
        <v>733</v>
      </c>
      <c r="C373" s="43"/>
      <c r="D373" s="43"/>
      <c r="E373" s="43">
        <f>152*6.2*0.56*2+43*4*6*0.56*2</f>
        <v>2211.3280000000004</v>
      </c>
      <c r="F373" s="49"/>
      <c r="G373" s="43"/>
      <c r="H373" s="21"/>
      <c r="I373" s="28">
        <v>1</v>
      </c>
      <c r="J373" s="22">
        <v>2</v>
      </c>
      <c r="K373" s="17"/>
      <c r="L373" s="649">
        <f t="shared" si="15"/>
        <v>4422.6560000000009</v>
      </c>
    </row>
    <row r="374" spans="2:13" ht="16.5">
      <c r="B374" s="678"/>
      <c r="C374" s="43"/>
      <c r="D374" s="43"/>
      <c r="E374" s="43"/>
      <c r="F374" s="49"/>
      <c r="G374" s="43"/>
      <c r="H374" s="21"/>
      <c r="I374" s="28"/>
      <c r="J374" s="22"/>
      <c r="K374" s="17"/>
      <c r="L374" s="649"/>
    </row>
    <row r="375" spans="2:13" ht="16.5">
      <c r="B375" s="658" t="s">
        <v>931</v>
      </c>
      <c r="C375" s="43"/>
      <c r="D375" s="43"/>
      <c r="E375" s="43"/>
      <c r="F375" s="49"/>
      <c r="G375" s="43"/>
      <c r="H375" s="21"/>
      <c r="I375" s="28"/>
      <c r="J375" s="22"/>
      <c r="K375" s="17"/>
      <c r="L375" s="649"/>
    </row>
    <row r="376" spans="2:13" ht="16.5">
      <c r="B376" s="658"/>
      <c r="C376" s="43"/>
      <c r="D376" s="43"/>
      <c r="E376" s="43"/>
      <c r="F376" s="49"/>
      <c r="G376" s="43"/>
      <c r="H376" s="21"/>
      <c r="I376" s="28"/>
      <c r="J376" s="22"/>
      <c r="K376" s="17"/>
      <c r="L376" s="649"/>
    </row>
    <row r="377" spans="2:13" ht="16.5">
      <c r="B377" s="709"/>
      <c r="C377" s="43"/>
      <c r="D377" s="43"/>
      <c r="E377" s="43"/>
      <c r="F377" s="49"/>
      <c r="G377" s="43"/>
      <c r="H377" s="21"/>
      <c r="I377" s="28"/>
      <c r="J377" s="22"/>
      <c r="K377" s="17"/>
      <c r="L377" s="649"/>
    </row>
    <row r="378" spans="2:13" ht="15">
      <c r="B378" s="709" t="s">
        <v>1009</v>
      </c>
      <c r="C378" s="19"/>
      <c r="D378" s="20"/>
      <c r="E378" s="19" t="s">
        <v>1010</v>
      </c>
      <c r="F378" s="20"/>
      <c r="G378" s="20"/>
      <c r="H378" s="21"/>
      <c r="I378" s="17"/>
      <c r="J378" s="22"/>
      <c r="K378" s="17"/>
      <c r="L378" s="649"/>
    </row>
    <row r="379" spans="2:13" ht="15">
      <c r="B379" s="710" t="s">
        <v>1001</v>
      </c>
      <c r="C379" s="19"/>
      <c r="D379" s="20"/>
      <c r="E379" s="56">
        <v>8.5371428571428574</v>
      </c>
      <c r="F379" s="20"/>
      <c r="G379" s="20"/>
      <c r="H379" s="21"/>
      <c r="I379" s="17"/>
      <c r="J379" s="22">
        <v>40</v>
      </c>
      <c r="K379" s="17"/>
      <c r="L379" s="649">
        <f t="shared" ref="L379:L380" si="16">+SUM(C379:G379)*J379</f>
        <v>341.48571428571427</v>
      </c>
    </row>
    <row r="380" spans="2:13" ht="15">
      <c r="B380" s="710" t="s">
        <v>1002</v>
      </c>
      <c r="C380" s="19"/>
      <c r="D380" s="20"/>
      <c r="E380" s="56">
        <v>5.976</v>
      </c>
      <c r="F380" s="20"/>
      <c r="G380" s="20"/>
      <c r="H380" s="21"/>
      <c r="I380" s="17"/>
      <c r="J380" s="22">
        <v>40</v>
      </c>
      <c r="K380" s="17"/>
      <c r="L380" s="649">
        <f t="shared" si="16"/>
        <v>239.04</v>
      </c>
      <c r="M380" s="58"/>
    </row>
    <row r="381" spans="2:13" ht="15">
      <c r="B381" s="710" t="s">
        <v>1003</v>
      </c>
      <c r="C381" s="19"/>
      <c r="D381" s="20"/>
      <c r="E381" s="56">
        <v>10.846439999999999</v>
      </c>
      <c r="F381" s="20"/>
      <c r="G381" s="20"/>
      <c r="H381" s="21"/>
      <c r="I381" s="17"/>
      <c r="J381" s="22">
        <v>40</v>
      </c>
      <c r="K381" s="17"/>
      <c r="L381" s="649">
        <f>+SUM(C381:G381)*J381</f>
        <v>433.85759999999999</v>
      </c>
    </row>
    <row r="382" spans="2:13" ht="15">
      <c r="B382" s="710" t="s">
        <v>1004</v>
      </c>
      <c r="C382" s="19"/>
      <c r="D382" s="20"/>
      <c r="E382" s="56">
        <v>29.88</v>
      </c>
      <c r="F382" s="20"/>
      <c r="G382" s="20"/>
      <c r="H382" s="21"/>
      <c r="I382" s="17"/>
      <c r="J382" s="22">
        <v>40</v>
      </c>
      <c r="K382" s="17"/>
      <c r="L382" s="649">
        <f t="shared" ref="L382:L386" si="17">+SUM(C382:G382)*J382</f>
        <v>1195.2</v>
      </c>
    </row>
    <row r="383" spans="2:13" ht="15">
      <c r="B383" s="716" t="s">
        <v>1005</v>
      </c>
      <c r="C383" s="19"/>
      <c r="D383" s="20"/>
      <c r="E383" s="56">
        <v>16.068800000000003</v>
      </c>
      <c r="F383" s="20"/>
      <c r="G383" s="20"/>
      <c r="H383" s="21"/>
      <c r="I383" s="17"/>
      <c r="J383" s="22">
        <v>40</v>
      </c>
      <c r="K383" s="17"/>
      <c r="L383" s="649">
        <f t="shared" si="17"/>
        <v>642.75200000000018</v>
      </c>
    </row>
    <row r="384" spans="2:13" ht="15">
      <c r="B384" s="710" t="s">
        <v>1006</v>
      </c>
      <c r="C384" s="19"/>
      <c r="D384" s="20"/>
      <c r="E384" s="56">
        <v>16.068800000000003</v>
      </c>
      <c r="F384" s="20"/>
      <c r="G384" s="20"/>
      <c r="H384" s="21"/>
      <c r="I384" s="17"/>
      <c r="J384" s="22">
        <v>40</v>
      </c>
      <c r="K384" s="17"/>
      <c r="L384" s="649">
        <f t="shared" si="17"/>
        <v>642.75200000000018</v>
      </c>
    </row>
    <row r="385" spans="2:12" ht="15">
      <c r="B385" s="710" t="s">
        <v>1007</v>
      </c>
      <c r="C385" s="19"/>
      <c r="D385" s="20"/>
      <c r="E385" s="56">
        <v>3.984</v>
      </c>
      <c r="F385" s="20"/>
      <c r="G385" s="20"/>
      <c r="H385" s="21"/>
      <c r="I385" s="17"/>
      <c r="J385" s="22">
        <v>40</v>
      </c>
      <c r="K385" s="17"/>
      <c r="L385" s="649">
        <f t="shared" si="17"/>
        <v>159.36000000000001</v>
      </c>
    </row>
    <row r="386" spans="2:12" ht="15">
      <c r="B386" s="710" t="s">
        <v>1008</v>
      </c>
      <c r="C386" s="19"/>
      <c r="D386" s="20"/>
      <c r="E386" s="56">
        <v>3.984</v>
      </c>
      <c r="F386" s="20"/>
      <c r="G386" s="20"/>
      <c r="H386" s="21"/>
      <c r="I386" s="17"/>
      <c r="J386" s="22">
        <v>40</v>
      </c>
      <c r="K386" s="17"/>
      <c r="L386" s="649">
        <f t="shared" si="17"/>
        <v>159.36000000000001</v>
      </c>
    </row>
    <row r="387" spans="2:12" ht="15">
      <c r="B387" s="710"/>
      <c r="C387" s="19"/>
      <c r="D387" s="20"/>
      <c r="E387" s="56"/>
      <c r="F387" s="20"/>
      <c r="G387" s="20"/>
      <c r="H387" s="21"/>
      <c r="I387" s="17"/>
      <c r="J387" s="22"/>
      <c r="K387" s="17"/>
      <c r="L387" s="649"/>
    </row>
    <row r="388" spans="2:12" ht="15">
      <c r="B388" s="710" t="s">
        <v>1066</v>
      </c>
      <c r="C388" s="19"/>
      <c r="D388" s="20"/>
      <c r="E388" s="56">
        <v>20</v>
      </c>
      <c r="F388" s="20"/>
      <c r="G388" s="20"/>
      <c r="H388" s="21"/>
      <c r="I388" s="17"/>
      <c r="J388" s="22">
        <v>70</v>
      </c>
      <c r="K388" s="17"/>
      <c r="L388" s="649">
        <f>+SUM(C388:G388)*J388</f>
        <v>1400</v>
      </c>
    </row>
    <row r="389" spans="2:12" ht="15">
      <c r="B389" s="710"/>
      <c r="C389" s="19"/>
      <c r="D389" s="20"/>
      <c r="E389" s="20"/>
      <c r="F389" s="20"/>
      <c r="G389" s="20"/>
      <c r="H389" s="21"/>
      <c r="I389" s="17"/>
      <c r="J389" s="22"/>
      <c r="K389" s="17"/>
      <c r="L389" s="649"/>
    </row>
    <row r="390" spans="2:12" ht="15">
      <c r="B390" s="709"/>
      <c r="C390" s="19"/>
      <c r="D390" s="20"/>
      <c r="E390" s="20"/>
      <c r="F390" s="20"/>
      <c r="G390" s="20"/>
      <c r="H390" s="21"/>
      <c r="I390" s="17"/>
      <c r="J390" s="22"/>
      <c r="K390" s="17"/>
      <c r="L390" s="649"/>
    </row>
    <row r="391" spans="2:12" ht="15">
      <c r="B391" s="710" t="s">
        <v>959</v>
      </c>
      <c r="C391" s="20">
        <f>(32+20+19+34+45+11+21+6+42+225)*7</f>
        <v>3185</v>
      </c>
      <c r="D391" s="20"/>
      <c r="E391" s="20"/>
      <c r="F391" s="20"/>
      <c r="G391" s="20"/>
      <c r="H391" s="21"/>
      <c r="I391" s="17">
        <v>1</v>
      </c>
      <c r="J391" s="22">
        <v>1</v>
      </c>
      <c r="K391" s="17"/>
      <c r="L391" s="649">
        <f t="shared" si="15"/>
        <v>3185</v>
      </c>
    </row>
    <row r="392" spans="2:12" ht="15">
      <c r="B392" s="710" t="s">
        <v>960</v>
      </c>
      <c r="C392" s="19"/>
      <c r="D392" s="20">
        <f>(171/0.2)*1*0.56</f>
        <v>478.80000000000007</v>
      </c>
      <c r="E392" s="20">
        <f>171*6*1</f>
        <v>1026</v>
      </c>
      <c r="F392" s="20"/>
      <c r="G392" s="20"/>
      <c r="H392" s="21"/>
      <c r="I392" s="17">
        <v>1</v>
      </c>
      <c r="J392" s="22">
        <v>1</v>
      </c>
      <c r="K392" s="17"/>
      <c r="L392" s="649">
        <f>+SUM(C392:G392)*I392*J392</f>
        <v>1504.8000000000002</v>
      </c>
    </row>
    <row r="393" spans="2:12" ht="15">
      <c r="B393" s="710"/>
      <c r="C393" s="19"/>
      <c r="D393" s="20"/>
      <c r="E393" s="20"/>
      <c r="F393" s="20"/>
      <c r="G393" s="20"/>
      <c r="H393" s="21"/>
      <c r="I393" s="17"/>
      <c r="J393" s="22"/>
      <c r="K393" s="17"/>
      <c r="L393" s="649"/>
    </row>
    <row r="394" spans="2:12" ht="15">
      <c r="B394" s="710"/>
      <c r="C394" s="19"/>
      <c r="D394" s="20"/>
      <c r="E394" s="20"/>
      <c r="F394" s="20"/>
      <c r="G394" s="20"/>
      <c r="H394" s="21"/>
      <c r="I394" s="17"/>
      <c r="J394" s="22"/>
      <c r="K394" s="17"/>
      <c r="L394" s="649"/>
    </row>
    <row r="395" spans="2:12" ht="16.5">
      <c r="B395" s="717" t="s">
        <v>979</v>
      </c>
      <c r="C395" s="373"/>
      <c r="D395" s="42"/>
      <c r="E395" s="42"/>
      <c r="F395" s="42"/>
      <c r="G395" s="362"/>
      <c r="H395" s="718"/>
      <c r="I395" s="226"/>
      <c r="J395" s="363"/>
      <c r="K395" s="28"/>
      <c r="L395" s="649"/>
    </row>
    <row r="396" spans="2:12" ht="16.5">
      <c r="B396" s="717"/>
      <c r="C396" s="373"/>
      <c r="D396" s="42"/>
      <c r="E396" s="42"/>
      <c r="F396" s="42"/>
      <c r="G396" s="362"/>
      <c r="H396" s="718"/>
      <c r="I396" s="226"/>
      <c r="J396" s="363"/>
      <c r="K396" s="28"/>
      <c r="L396" s="649"/>
    </row>
    <row r="397" spans="2:12" ht="18">
      <c r="B397" s="987" t="s">
        <v>435</v>
      </c>
      <c r="C397" s="988"/>
      <c r="D397" s="988"/>
      <c r="E397" s="988"/>
      <c r="F397" s="988"/>
      <c r="G397" s="988"/>
      <c r="H397" s="988"/>
      <c r="I397" s="988"/>
      <c r="J397" s="988"/>
      <c r="K397" s="988"/>
      <c r="L397" s="989"/>
    </row>
    <row r="398" spans="2:12" ht="15.75">
      <c r="B398" s="662" t="s">
        <v>599</v>
      </c>
      <c r="C398" s="269"/>
      <c r="D398" s="33"/>
      <c r="E398" s="33">
        <f>((12*1.3*0.996))</f>
        <v>15.537600000000001</v>
      </c>
      <c r="F398" s="270"/>
      <c r="G398" s="270"/>
      <c r="H398" s="271"/>
      <c r="I398" s="35">
        <v>4</v>
      </c>
      <c r="J398" s="22">
        <v>4</v>
      </c>
      <c r="K398" s="17"/>
      <c r="L398" s="719">
        <f>+SUM(C398:H398)*(I398*J398)</f>
        <v>248.60160000000002</v>
      </c>
    </row>
    <row r="399" spans="2:12" ht="15.75">
      <c r="B399" s="720" t="s">
        <v>428</v>
      </c>
      <c r="C399" s="374"/>
      <c r="D399" s="374"/>
      <c r="E399" s="374"/>
      <c r="F399" s="374"/>
      <c r="G399" s="374"/>
      <c r="H399" s="374"/>
      <c r="I399" s="374"/>
      <c r="J399" s="374"/>
      <c r="K399" s="374"/>
      <c r="L399" s="721"/>
    </row>
    <row r="400" spans="2:12" ht="16.5">
      <c r="B400" s="662" t="s">
        <v>602</v>
      </c>
      <c r="C400" s="269"/>
      <c r="D400" s="42">
        <f>((13+6+6+6)*(0.56)*(0.88))</f>
        <v>15.276800000000003</v>
      </c>
      <c r="E400" s="33">
        <f>((6*5.6*0.992))</f>
        <v>33.331199999999995</v>
      </c>
      <c r="F400" s="33"/>
      <c r="G400" s="42"/>
      <c r="H400" s="271"/>
      <c r="I400" s="35">
        <v>4</v>
      </c>
      <c r="J400" s="22">
        <v>4</v>
      </c>
      <c r="K400" s="17"/>
      <c r="L400" s="719">
        <f>+SUM(C400:H400)*(I400*J400)</f>
        <v>777.72799999999995</v>
      </c>
    </row>
    <row r="401" spans="2:12" ht="15.75">
      <c r="B401" s="984" t="s">
        <v>605</v>
      </c>
      <c r="C401" s="985"/>
      <c r="D401" s="985"/>
      <c r="E401" s="985"/>
      <c r="F401" s="985"/>
      <c r="G401" s="985"/>
      <c r="H401" s="985"/>
      <c r="I401" s="985"/>
      <c r="J401" s="985"/>
      <c r="K401" s="985"/>
      <c r="L401" s="986"/>
    </row>
    <row r="402" spans="2:12" ht="16.5">
      <c r="B402" s="662" t="s">
        <v>666</v>
      </c>
      <c r="C402" s="269"/>
      <c r="D402" s="42">
        <f>((26*1.08*0.56))</f>
        <v>15.724800000000002</v>
      </c>
      <c r="E402" s="42">
        <f>((1.4*3*0.996)*2)</f>
        <v>8.3663999999999987</v>
      </c>
      <c r="F402" s="43"/>
      <c r="G402" s="270"/>
      <c r="H402" s="271"/>
      <c r="I402" s="35">
        <v>2</v>
      </c>
      <c r="J402" s="22">
        <v>4</v>
      </c>
      <c r="K402" s="17"/>
      <c r="L402" s="719">
        <f>+SUM(C402:H402)*(I402*J402)</f>
        <v>192.7296</v>
      </c>
    </row>
    <row r="403" spans="2:12" ht="16.5">
      <c r="B403" s="662" t="s">
        <v>667</v>
      </c>
      <c r="C403" s="269"/>
      <c r="D403" s="42">
        <f>((26*1.08*0.56))</f>
        <v>15.724800000000002</v>
      </c>
      <c r="E403" s="42">
        <v>64.475999999999999</v>
      </c>
      <c r="F403" s="43"/>
      <c r="G403" s="270"/>
      <c r="H403" s="271"/>
      <c r="I403" s="35">
        <v>2</v>
      </c>
      <c r="J403" s="22">
        <v>4</v>
      </c>
      <c r="K403" s="17"/>
      <c r="L403" s="719">
        <f>+SUM(C403:H403)*(I403*3)</f>
        <v>481.20479999999998</v>
      </c>
    </row>
    <row r="404" spans="2:12" ht="15.75">
      <c r="B404" s="720" t="s">
        <v>976</v>
      </c>
      <c r="C404" s="374"/>
      <c r="D404" s="374"/>
      <c r="E404" s="374"/>
      <c r="F404" s="374"/>
      <c r="G404" s="374"/>
      <c r="H404" s="374"/>
      <c r="I404" s="374"/>
      <c r="J404" s="374"/>
      <c r="K404" s="374"/>
      <c r="L404" s="721"/>
    </row>
    <row r="405" spans="2:12" ht="16.5">
      <c r="B405" s="662" t="s">
        <v>977</v>
      </c>
      <c r="C405" s="269"/>
      <c r="D405" s="42">
        <f>((26*1.08*0.56))</f>
        <v>15.724800000000002</v>
      </c>
      <c r="E405" s="42">
        <f>((1.4*3*0.996)*2)</f>
        <v>8.3663999999999987</v>
      </c>
      <c r="F405" s="43"/>
      <c r="G405" s="270"/>
      <c r="H405" s="271"/>
      <c r="I405" s="35">
        <v>2</v>
      </c>
      <c r="J405" s="22">
        <v>4</v>
      </c>
      <c r="K405" s="17"/>
      <c r="L405" s="719">
        <f>+SUM(C405:H405)*(I405*J405)</f>
        <v>192.7296</v>
      </c>
    </row>
    <row r="406" spans="2:12" ht="14.45" customHeight="1">
      <c r="B406" s="662" t="s">
        <v>978</v>
      </c>
      <c r="C406" s="269"/>
      <c r="D406" s="42">
        <f>((26*1.08*0.56))</f>
        <v>15.724800000000002</v>
      </c>
      <c r="E406" s="42">
        <v>64.475999999999999</v>
      </c>
      <c r="F406" s="43"/>
      <c r="G406" s="270"/>
      <c r="H406" s="271"/>
      <c r="I406" s="35">
        <v>2</v>
      </c>
      <c r="J406" s="22">
        <v>4</v>
      </c>
      <c r="K406" s="17"/>
      <c r="L406" s="719">
        <f>+SUM(C406:H406)*(I406*3)</f>
        <v>481.20479999999998</v>
      </c>
    </row>
    <row r="407" spans="2:12" ht="14.45" customHeight="1">
      <c r="B407" s="662" t="s">
        <v>422</v>
      </c>
      <c r="C407" s="270">
        <v>168</v>
      </c>
      <c r="D407" s="42"/>
      <c r="E407" s="42"/>
      <c r="F407" s="43"/>
      <c r="G407" s="270"/>
      <c r="H407" s="271"/>
      <c r="I407" s="35">
        <v>1</v>
      </c>
      <c r="J407" s="22">
        <v>4</v>
      </c>
      <c r="K407" s="17"/>
      <c r="L407" s="719">
        <f>+SUM(C407:H407)*(I407*3)</f>
        <v>504</v>
      </c>
    </row>
    <row r="408" spans="2:12" ht="14.45" customHeight="1">
      <c r="B408" s="662"/>
      <c r="C408" s="269"/>
      <c r="D408" s="42"/>
      <c r="E408" s="42"/>
      <c r="F408" s="43"/>
      <c r="G408" s="270"/>
      <c r="H408" s="271"/>
      <c r="I408" s="35"/>
      <c r="J408" s="22"/>
      <c r="K408" s="17"/>
      <c r="L408" s="719"/>
    </row>
    <row r="409" spans="2:12" ht="14.45" customHeight="1">
      <c r="B409" s="662"/>
      <c r="C409" s="269"/>
      <c r="D409" s="42"/>
      <c r="E409" s="42"/>
      <c r="F409" s="43"/>
      <c r="G409" s="270"/>
      <c r="H409" s="271"/>
      <c r="I409" s="35"/>
      <c r="J409" s="22"/>
      <c r="K409" s="17"/>
      <c r="L409" s="719"/>
    </row>
    <row r="410" spans="2:12" ht="14.45" customHeight="1">
      <c r="B410" s="662"/>
      <c r="C410" s="269"/>
      <c r="D410" s="42"/>
      <c r="E410" s="42"/>
      <c r="F410" s="43"/>
      <c r="G410" s="270"/>
      <c r="H410" s="271"/>
      <c r="I410" s="35"/>
      <c r="J410" s="22"/>
      <c r="K410" s="17"/>
      <c r="L410" s="719"/>
    </row>
    <row r="411" spans="2:12" ht="15.75">
      <c r="B411" s="1002" t="s">
        <v>414</v>
      </c>
      <c r="C411" s="1003"/>
      <c r="D411" s="1003"/>
      <c r="E411" s="1003"/>
      <c r="F411" s="1003"/>
      <c r="G411" s="1003"/>
      <c r="H411" s="1003"/>
      <c r="I411" s="1003"/>
      <c r="J411" s="1003"/>
      <c r="K411" s="1003"/>
      <c r="L411" s="1004"/>
    </row>
    <row r="412" spans="2:12">
      <c r="B412" s="651"/>
      <c r="L412" s="652"/>
    </row>
    <row r="413" spans="2:12" ht="15.75">
      <c r="B413" s="638" t="s">
        <v>398</v>
      </c>
      <c r="C413" s="8">
        <v>2</v>
      </c>
      <c r="D413" s="1008" t="s">
        <v>1027</v>
      </c>
      <c r="E413" s="1009"/>
      <c r="F413" s="1009"/>
      <c r="G413" s="1009"/>
      <c r="H413" s="1009"/>
      <c r="I413" s="1009"/>
      <c r="J413" s="1009"/>
      <c r="K413" s="1009"/>
      <c r="L413" s="1010"/>
    </row>
    <row r="414" spans="2:12" ht="15">
      <c r="B414" s="1005"/>
      <c r="C414" s="1006"/>
      <c r="D414" s="1006"/>
      <c r="E414" s="1006"/>
      <c r="F414" s="1006"/>
      <c r="G414" s="1006"/>
      <c r="H414" s="1006"/>
      <c r="I414" s="1006"/>
      <c r="J414" s="1006"/>
      <c r="K414" s="1006"/>
      <c r="L414" s="1007"/>
    </row>
    <row r="415" spans="2:12" ht="47.25">
      <c r="B415" s="642" t="s">
        <v>399</v>
      </c>
      <c r="C415" s="11">
        <f>+'PROPUESTA ECONOMICA(Proponente)'!C35</f>
        <v>2.2000000000000002</v>
      </c>
      <c r="D415" s="12" t="str">
        <f>+VLOOKUP('MEMORIAS DE CANTIDADES'!C415,'PROPUESTA ECONOMICA(Proponente)'!$C$21:$H$310,5,FALSE)</f>
        <v>ACERO ESTRUCTURAL: ASTM A 500 Gr. C ó A36 - GRADERIAS, BANCA DE SUPLENTES (incluye suministro, figurado y fijación)</v>
      </c>
      <c r="E415" s="13"/>
      <c r="F415" s="12"/>
      <c r="G415" s="12"/>
      <c r="H415" s="12"/>
      <c r="I415" s="11" t="s">
        <v>400</v>
      </c>
      <c r="J415" s="12" t="str">
        <f>+VLOOKUP('MEMORIAS DE CANTIDADES'!C415,'PROPUESTA ECONOMICA(Proponente)'!$C$21:$H$310,6,FALSE)</f>
        <v>KG</v>
      </c>
      <c r="K415" s="11" t="s">
        <v>401</v>
      </c>
      <c r="L415" s="643">
        <f>SUM(L416:L457)</f>
        <v>83625.811333333302</v>
      </c>
    </row>
    <row r="416" spans="2:12" ht="15">
      <c r="B416" s="644"/>
      <c r="C416" s="16"/>
      <c r="D416" s="15"/>
      <c r="E416" s="15"/>
      <c r="F416" s="15"/>
      <c r="G416" s="15"/>
      <c r="H416" s="15"/>
      <c r="I416" s="15"/>
      <c r="J416" s="15"/>
      <c r="K416" s="17"/>
      <c r="L416" s="645"/>
    </row>
    <row r="417" spans="2:12" ht="47.25">
      <c r="B417" s="646" t="s">
        <v>402</v>
      </c>
      <c r="C417" s="18" t="s">
        <v>403</v>
      </c>
      <c r="D417" s="18" t="s">
        <v>404</v>
      </c>
      <c r="E417" s="18" t="s">
        <v>405</v>
      </c>
      <c r="F417" s="18" t="s">
        <v>406</v>
      </c>
      <c r="G417" s="18" t="s">
        <v>407</v>
      </c>
      <c r="H417" s="5" t="s">
        <v>408</v>
      </c>
      <c r="I417" s="18" t="s">
        <v>409</v>
      </c>
      <c r="J417" s="5" t="s">
        <v>410</v>
      </c>
      <c r="K417" s="5" t="s">
        <v>411</v>
      </c>
      <c r="L417" s="647" t="s">
        <v>412</v>
      </c>
    </row>
    <row r="418" spans="2:12" ht="15.75">
      <c r="B418" s="658" t="s">
        <v>598</v>
      </c>
      <c r="C418" s="18"/>
      <c r="D418" s="18"/>
      <c r="E418" s="18"/>
      <c r="F418" s="353"/>
      <c r="G418" s="351"/>
      <c r="H418" s="354"/>
      <c r="I418" s="722"/>
      <c r="J418" s="56"/>
      <c r="K418" s="5"/>
      <c r="L418" s="649">
        <f t="shared" ref="L418:L430" si="18">PRODUCT(C418:K418)</f>
        <v>0</v>
      </c>
    </row>
    <row r="419" spans="2:12" ht="16.5">
      <c r="B419" s="723" t="s">
        <v>735</v>
      </c>
      <c r="C419" s="18"/>
      <c r="D419" s="18"/>
      <c r="E419" s="18"/>
      <c r="F419" s="46">
        <f>(2.7+1.1)*2</f>
        <v>7.6000000000000005</v>
      </c>
      <c r="G419" s="46">
        <v>17</v>
      </c>
      <c r="H419" s="5"/>
      <c r="I419" s="41">
        <v>18</v>
      </c>
      <c r="J419" s="724"/>
      <c r="K419" s="5"/>
      <c r="L419" s="649">
        <f>PRODUCT(C419:K419)</f>
        <v>2325.6000000000004</v>
      </c>
    </row>
    <row r="420" spans="2:12" ht="16.5">
      <c r="B420" s="723" t="s">
        <v>736</v>
      </c>
      <c r="C420" s="18"/>
      <c r="D420" s="18"/>
      <c r="E420" s="18"/>
      <c r="F420" s="46">
        <f>(12+15)*2</f>
        <v>54</v>
      </c>
      <c r="G420" s="46">
        <v>17</v>
      </c>
      <c r="H420" s="5"/>
      <c r="I420" s="41">
        <v>18</v>
      </c>
      <c r="J420" s="724"/>
      <c r="K420" s="5"/>
      <c r="L420" s="649">
        <f t="shared" si="18"/>
        <v>16524</v>
      </c>
    </row>
    <row r="421" spans="2:12" ht="16.5">
      <c r="B421" s="723" t="s">
        <v>737</v>
      </c>
      <c r="C421" s="18"/>
      <c r="D421" s="18"/>
      <c r="E421" s="18"/>
      <c r="F421" s="46">
        <f>+(17.6+0.33*3+0.35+0.37+0.39+0.43+0.46+0.5+0.56+0.6+0.67+0.72+0.8+0.9+1+1.1+1.15*3)*2</f>
        <v>61.780000000000008</v>
      </c>
      <c r="G421" s="46">
        <v>8.6</v>
      </c>
      <c r="H421" s="5"/>
      <c r="I421" s="41">
        <v>18</v>
      </c>
      <c r="J421" s="724"/>
      <c r="K421" s="5"/>
      <c r="L421" s="649">
        <f t="shared" si="18"/>
        <v>9563.5439999999999</v>
      </c>
    </row>
    <row r="422" spans="2:12" ht="16.5">
      <c r="B422" s="723" t="s">
        <v>738</v>
      </c>
      <c r="C422" s="18"/>
      <c r="D422" s="18"/>
      <c r="E422" s="18"/>
      <c r="F422" s="46">
        <f>122*0.05</f>
        <v>6.1000000000000005</v>
      </c>
      <c r="G422" s="46">
        <v>8.6</v>
      </c>
      <c r="H422" s="5"/>
      <c r="I422" s="41">
        <v>18</v>
      </c>
      <c r="J422" s="724"/>
      <c r="K422" s="5"/>
      <c r="L422" s="649">
        <f t="shared" si="18"/>
        <v>944.28</v>
      </c>
    </row>
    <row r="423" spans="2:12" ht="16.5">
      <c r="B423" s="723" t="s">
        <v>739</v>
      </c>
      <c r="C423" s="18"/>
      <c r="D423" s="18"/>
      <c r="E423" s="18"/>
      <c r="F423" s="46">
        <f>(48.7*2)*2</f>
        <v>194.8</v>
      </c>
      <c r="G423" s="46">
        <v>4.8</v>
      </c>
      <c r="H423" s="5"/>
      <c r="I423" s="41">
        <v>6</v>
      </c>
      <c r="J423" s="724"/>
      <c r="K423" s="5"/>
      <c r="L423" s="649">
        <f t="shared" si="18"/>
        <v>5610.24</v>
      </c>
    </row>
    <row r="424" spans="2:12" ht="16.5">
      <c r="B424" s="723" t="s">
        <v>740</v>
      </c>
      <c r="C424" s="18"/>
      <c r="D424" s="18"/>
      <c r="E424" s="18"/>
      <c r="F424" s="46">
        <f>(48.7*2)*2</f>
        <v>194.8</v>
      </c>
      <c r="G424" s="46">
        <v>7</v>
      </c>
      <c r="H424" s="5"/>
      <c r="I424" s="41">
        <v>3</v>
      </c>
      <c r="J424" s="724"/>
      <c r="K424" s="5"/>
      <c r="L424" s="649">
        <f t="shared" si="18"/>
        <v>4090.8</v>
      </c>
    </row>
    <row r="425" spans="2:12" ht="16.5">
      <c r="B425" s="723" t="s">
        <v>741</v>
      </c>
      <c r="C425" s="18"/>
      <c r="D425" s="18"/>
      <c r="E425" s="18"/>
      <c r="F425" s="46">
        <f>1.1*2</f>
        <v>2.2000000000000002</v>
      </c>
      <c r="G425" s="46">
        <v>5.5</v>
      </c>
      <c r="H425" s="5"/>
      <c r="I425" s="41">
        <f>18*3</f>
        <v>54</v>
      </c>
      <c r="J425" s="724"/>
      <c r="K425" s="5"/>
      <c r="L425" s="649">
        <f t="shared" si="18"/>
        <v>653.40000000000009</v>
      </c>
    </row>
    <row r="426" spans="2:12" ht="16.5">
      <c r="B426" s="723" t="s">
        <v>742</v>
      </c>
      <c r="C426" s="18"/>
      <c r="D426" s="18"/>
      <c r="E426" s="18"/>
      <c r="F426" s="46">
        <v>12</v>
      </c>
      <c r="G426" s="46">
        <v>1.6</v>
      </c>
      <c r="H426" s="5"/>
      <c r="I426" s="41">
        <v>16</v>
      </c>
      <c r="J426" s="724"/>
      <c r="K426" s="5"/>
      <c r="L426" s="649">
        <f t="shared" si="18"/>
        <v>307.20000000000005</v>
      </c>
    </row>
    <row r="427" spans="2:12" ht="16.5">
      <c r="B427" s="723" t="s">
        <v>743</v>
      </c>
      <c r="C427" s="18"/>
      <c r="D427" s="18"/>
      <c r="E427" s="18"/>
      <c r="F427" s="46">
        <v>0.3</v>
      </c>
      <c r="G427" s="46">
        <v>6.1</v>
      </c>
      <c r="H427" s="5"/>
      <c r="I427" s="41">
        <f>16*4</f>
        <v>64</v>
      </c>
      <c r="J427" s="724"/>
      <c r="K427" s="5"/>
      <c r="L427" s="649">
        <f t="shared" si="18"/>
        <v>117.11999999999999</v>
      </c>
    </row>
    <row r="428" spans="2:12" ht="16.5">
      <c r="B428" s="723" t="s">
        <v>744</v>
      </c>
      <c r="C428" s="18"/>
      <c r="D428" s="18"/>
      <c r="E428" s="18"/>
      <c r="F428" s="46">
        <v>0.25</v>
      </c>
      <c r="G428" s="46">
        <v>7.3</v>
      </c>
      <c r="H428" s="5"/>
      <c r="I428" s="41">
        <f>18*9</f>
        <v>162</v>
      </c>
      <c r="J428" s="724"/>
      <c r="K428" s="5"/>
      <c r="L428" s="649">
        <f t="shared" si="18"/>
        <v>295.64999999999998</v>
      </c>
    </row>
    <row r="429" spans="2:12" ht="16.5">
      <c r="B429" s="725" t="s">
        <v>745</v>
      </c>
      <c r="C429" s="18"/>
      <c r="D429" s="18"/>
      <c r="E429" s="18"/>
      <c r="F429" s="46">
        <f>0.4*0.5</f>
        <v>0.2</v>
      </c>
      <c r="G429" s="46">
        <v>160</v>
      </c>
      <c r="H429" s="5"/>
      <c r="I429" s="41">
        <v>18</v>
      </c>
      <c r="J429" s="724"/>
      <c r="K429" s="5"/>
      <c r="L429" s="649">
        <f t="shared" si="18"/>
        <v>576</v>
      </c>
    </row>
    <row r="430" spans="2:12" ht="16.5">
      <c r="B430" s="725" t="s">
        <v>849</v>
      </c>
      <c r="C430" s="18"/>
      <c r="D430" s="18"/>
      <c r="E430" s="18"/>
      <c r="F430" s="46">
        <f>0.5*0.5+0.5*0.6</f>
        <v>0.55000000000000004</v>
      </c>
      <c r="G430" s="46">
        <v>175</v>
      </c>
      <c r="H430" s="5"/>
      <c r="I430" s="41">
        <v>18</v>
      </c>
      <c r="J430" s="724"/>
      <c r="K430" s="5"/>
      <c r="L430" s="649">
        <f t="shared" si="18"/>
        <v>1732.5000000000002</v>
      </c>
    </row>
    <row r="431" spans="2:12" ht="16.5">
      <c r="B431" s="725" t="s">
        <v>746</v>
      </c>
      <c r="C431" s="19"/>
      <c r="D431" s="20"/>
      <c r="E431" s="20"/>
      <c r="F431" s="46">
        <f>0.6*30</f>
        <v>18</v>
      </c>
      <c r="G431" s="46">
        <v>10</v>
      </c>
      <c r="H431" s="21"/>
      <c r="I431" s="41">
        <v>18</v>
      </c>
      <c r="J431" s="724"/>
      <c r="K431" s="17"/>
      <c r="L431" s="649">
        <f>PRODUCT(C431:K431)</f>
        <v>3240</v>
      </c>
    </row>
    <row r="432" spans="2:12" ht="16.5">
      <c r="B432" s="725" t="s">
        <v>747</v>
      </c>
      <c r="C432" s="19"/>
      <c r="D432" s="20"/>
      <c r="E432" s="20"/>
      <c r="F432" s="46">
        <f>0.005*4</f>
        <v>0.02</v>
      </c>
      <c r="G432" s="46">
        <v>100</v>
      </c>
      <c r="H432" s="21"/>
      <c r="I432" s="41">
        <v>18</v>
      </c>
      <c r="J432" s="724"/>
      <c r="K432" s="17"/>
      <c r="L432" s="649">
        <f t="shared" ref="L432:L433" si="19">PRODUCT(C432:K432)</f>
        <v>36</v>
      </c>
    </row>
    <row r="433" spans="2:13" ht="16.5">
      <c r="B433" s="725" t="s">
        <v>748</v>
      </c>
      <c r="C433" s="19"/>
      <c r="D433" s="20"/>
      <c r="E433" s="20"/>
      <c r="F433" s="46">
        <f>0.0056*4+0.012*4*2+0.0045*8</f>
        <v>0.15440000000000001</v>
      </c>
      <c r="G433" s="46">
        <v>75</v>
      </c>
      <c r="H433" s="21"/>
      <c r="I433" s="41">
        <v>18</v>
      </c>
      <c r="J433" s="724"/>
      <c r="K433" s="17"/>
      <c r="L433" s="649">
        <f t="shared" si="19"/>
        <v>208.44</v>
      </c>
      <c r="M433" s="58"/>
    </row>
    <row r="434" spans="2:13" ht="15.75">
      <c r="B434" s="726" t="s">
        <v>659</v>
      </c>
      <c r="C434" s="72"/>
      <c r="D434" s="169"/>
      <c r="E434" s="169"/>
      <c r="F434" s="727"/>
      <c r="G434" s="728"/>
      <c r="H434" s="698"/>
      <c r="I434" s="729"/>
      <c r="J434" s="170"/>
      <c r="K434" s="162"/>
      <c r="L434" s="705"/>
    </row>
    <row r="435" spans="2:13" ht="16.5">
      <c r="B435" s="723" t="s">
        <v>735</v>
      </c>
      <c r="C435" s="19"/>
      <c r="D435" s="20"/>
      <c r="E435" s="20"/>
      <c r="F435" s="46">
        <f>(2.7+1.1)*2</f>
        <v>7.6000000000000005</v>
      </c>
      <c r="G435" s="46">
        <v>17</v>
      </c>
      <c r="H435" s="21"/>
      <c r="I435" s="41">
        <v>13</v>
      </c>
      <c r="J435" s="724"/>
      <c r="K435" s="17"/>
      <c r="L435" s="649">
        <f>PRODUCT(C435:K435)</f>
        <v>1679.6000000000001</v>
      </c>
    </row>
    <row r="436" spans="2:13" ht="16.5">
      <c r="B436" s="723" t="s">
        <v>736</v>
      </c>
      <c r="C436" s="19"/>
      <c r="D436" s="20"/>
      <c r="E436" s="20"/>
      <c r="F436" s="46">
        <f>(12+15)*2</f>
        <v>54</v>
      </c>
      <c r="G436" s="46">
        <v>17</v>
      </c>
      <c r="H436" s="21"/>
      <c r="I436" s="41">
        <v>13</v>
      </c>
      <c r="J436" s="724"/>
      <c r="K436" s="17"/>
      <c r="L436" s="649">
        <f t="shared" ref="L436:L448" si="20">PRODUCT(C436:K436)</f>
        <v>11934</v>
      </c>
    </row>
    <row r="437" spans="2:13" ht="16.5">
      <c r="B437" s="723" t="s">
        <v>737</v>
      </c>
      <c r="C437" s="19"/>
      <c r="D437" s="20"/>
      <c r="E437" s="20"/>
      <c r="F437" s="46">
        <f>+(17.6+0.33*3+0.35+0.37+0.39+0.43+0.46+0.5+0.56+0.6+0.67+0.72+0.8+0.9+1+1.1+1.15*3)*2</f>
        <v>61.780000000000008</v>
      </c>
      <c r="G437" s="46">
        <v>8.6</v>
      </c>
      <c r="H437" s="21"/>
      <c r="I437" s="41">
        <v>13</v>
      </c>
      <c r="J437" s="724"/>
      <c r="K437" s="17"/>
      <c r="L437" s="649">
        <f t="shared" si="20"/>
        <v>6907.0039999999999</v>
      </c>
    </row>
    <row r="438" spans="2:13" ht="16.5">
      <c r="B438" s="723" t="s">
        <v>738</v>
      </c>
      <c r="C438" s="19"/>
      <c r="D438" s="20"/>
      <c r="E438" s="20"/>
      <c r="F438" s="46">
        <f>122*0.05</f>
        <v>6.1000000000000005</v>
      </c>
      <c r="G438" s="46">
        <v>8.6</v>
      </c>
      <c r="H438" s="21"/>
      <c r="I438" s="41">
        <v>13</v>
      </c>
      <c r="J438" s="724"/>
      <c r="K438" s="17"/>
      <c r="L438" s="649">
        <f t="shared" si="20"/>
        <v>681.98</v>
      </c>
    </row>
    <row r="439" spans="2:13" ht="16.5">
      <c r="B439" s="723" t="s">
        <v>749</v>
      </c>
      <c r="C439" s="19"/>
      <c r="D439" s="20"/>
      <c r="E439" s="20"/>
      <c r="F439" s="46">
        <v>66</v>
      </c>
      <c r="G439" s="46">
        <v>15</v>
      </c>
      <c r="H439" s="21"/>
      <c r="I439" s="41">
        <v>9</v>
      </c>
      <c r="J439" s="724"/>
      <c r="K439" s="17"/>
      <c r="L439" s="649">
        <f t="shared" si="20"/>
        <v>8910</v>
      </c>
    </row>
    <row r="440" spans="2:13" ht="16.5">
      <c r="B440" s="723" t="s">
        <v>741</v>
      </c>
      <c r="C440" s="19"/>
      <c r="D440" s="20"/>
      <c r="E440" s="20"/>
      <c r="F440" s="46">
        <f>1.1*2</f>
        <v>2.2000000000000002</v>
      </c>
      <c r="G440" s="46">
        <v>5.5</v>
      </c>
      <c r="H440" s="21"/>
      <c r="I440" s="41">
        <f>18*3</f>
        <v>54</v>
      </c>
      <c r="J440" s="724"/>
      <c r="K440" s="17"/>
      <c r="L440" s="649">
        <f t="shared" si="20"/>
        <v>653.40000000000009</v>
      </c>
    </row>
    <row r="441" spans="2:13" ht="16.5">
      <c r="B441" s="723" t="s">
        <v>742</v>
      </c>
      <c r="C441" s="19"/>
      <c r="D441" s="20"/>
      <c r="E441" s="20"/>
      <c r="F441" s="46">
        <v>12</v>
      </c>
      <c r="G441" s="46">
        <v>1.6</v>
      </c>
      <c r="H441" s="21"/>
      <c r="I441" s="41">
        <v>16</v>
      </c>
      <c r="J441" s="724"/>
      <c r="K441" s="17"/>
      <c r="L441" s="649">
        <f t="shared" si="20"/>
        <v>307.20000000000005</v>
      </c>
    </row>
    <row r="442" spans="2:13" ht="16.5">
      <c r="B442" s="723" t="s">
        <v>743</v>
      </c>
      <c r="C442" s="19"/>
      <c r="D442" s="20"/>
      <c r="E442" s="20"/>
      <c r="F442" s="46">
        <v>0.3</v>
      </c>
      <c r="G442" s="46">
        <v>6.1</v>
      </c>
      <c r="H442" s="21"/>
      <c r="I442" s="41">
        <f>16*4</f>
        <v>64</v>
      </c>
      <c r="J442" s="724"/>
      <c r="K442" s="17"/>
      <c r="L442" s="649">
        <f t="shared" si="20"/>
        <v>117.11999999999999</v>
      </c>
    </row>
    <row r="443" spans="2:13" ht="16.5">
      <c r="B443" s="723" t="s">
        <v>744</v>
      </c>
      <c r="C443" s="19"/>
      <c r="D443" s="20"/>
      <c r="E443" s="20"/>
      <c r="F443" s="46">
        <v>0.25</v>
      </c>
      <c r="G443" s="46">
        <v>7.3</v>
      </c>
      <c r="H443" s="21"/>
      <c r="I443" s="41">
        <f>18*9</f>
        <v>162</v>
      </c>
      <c r="J443" s="724"/>
      <c r="K443" s="17"/>
      <c r="L443" s="649">
        <f t="shared" si="20"/>
        <v>295.64999999999998</v>
      </c>
    </row>
    <row r="444" spans="2:13" ht="16.5">
      <c r="B444" s="723" t="s">
        <v>745</v>
      </c>
      <c r="C444" s="19"/>
      <c r="D444" s="20"/>
      <c r="E444" s="20"/>
      <c r="F444" s="46">
        <f>0.4*0.5</f>
        <v>0.2</v>
      </c>
      <c r="G444" s="46">
        <v>160</v>
      </c>
      <c r="H444" s="21"/>
      <c r="I444" s="41">
        <v>13</v>
      </c>
      <c r="J444" s="724"/>
      <c r="K444" s="17"/>
      <c r="L444" s="649">
        <f t="shared" si="20"/>
        <v>416</v>
      </c>
    </row>
    <row r="445" spans="2:13" ht="16.5">
      <c r="B445" s="723" t="s">
        <v>746</v>
      </c>
      <c r="C445" s="19"/>
      <c r="D445" s="447"/>
      <c r="E445" s="447"/>
      <c r="F445" s="46">
        <f>0.6*30</f>
        <v>18</v>
      </c>
      <c r="G445" s="46">
        <v>10</v>
      </c>
      <c r="H445" s="21"/>
      <c r="I445" s="41">
        <v>13</v>
      </c>
      <c r="J445" s="724"/>
      <c r="K445" s="17"/>
      <c r="L445" s="649">
        <f t="shared" si="20"/>
        <v>2340</v>
      </c>
    </row>
    <row r="446" spans="2:13" ht="16.5">
      <c r="B446" s="723" t="s">
        <v>747</v>
      </c>
      <c r="C446" s="19"/>
      <c r="D446" s="20"/>
      <c r="E446" s="20"/>
      <c r="F446" s="46">
        <f>0.005*4</f>
        <v>0.02</v>
      </c>
      <c r="G446" s="46">
        <v>100</v>
      </c>
      <c r="H446" s="21"/>
      <c r="I446" s="41">
        <v>13</v>
      </c>
      <c r="J446" s="724"/>
      <c r="K446" s="17"/>
      <c r="L446" s="649">
        <f>PRODUCT(C446:K446)</f>
        <v>26</v>
      </c>
    </row>
    <row r="447" spans="2:13" ht="16.5">
      <c r="B447" s="723" t="s">
        <v>748</v>
      </c>
      <c r="C447" s="19"/>
      <c r="D447" s="20"/>
      <c r="E447" s="20"/>
      <c r="F447" s="46">
        <f>0.0056*4+0.012*4*2+0.0045*8</f>
        <v>0.15440000000000001</v>
      </c>
      <c r="G447" s="46">
        <v>75</v>
      </c>
      <c r="H447" s="21"/>
      <c r="I447" s="41">
        <v>13</v>
      </c>
      <c r="J447" s="724"/>
      <c r="K447" s="17"/>
      <c r="L447" s="649">
        <f t="shared" si="20"/>
        <v>150.54</v>
      </c>
    </row>
    <row r="448" spans="2:13" ht="16.5">
      <c r="B448" s="730" t="s">
        <v>849</v>
      </c>
      <c r="C448" s="19"/>
      <c r="D448" s="20"/>
      <c r="E448" s="20"/>
      <c r="F448" s="46">
        <f>0.5*0.5+0.5*0.6</f>
        <v>0.55000000000000004</v>
      </c>
      <c r="G448" s="46">
        <v>175</v>
      </c>
      <c r="H448" s="21"/>
      <c r="I448" s="41">
        <v>13</v>
      </c>
      <c r="J448" s="724"/>
      <c r="K448" s="17"/>
      <c r="L448" s="649">
        <f t="shared" si="20"/>
        <v>1251.2500000000002</v>
      </c>
    </row>
    <row r="449" spans="2:13" ht="15">
      <c r="B449" s="731"/>
      <c r="C449" s="19"/>
      <c r="D449" s="20"/>
      <c r="E449" s="20"/>
      <c r="F449" s="47"/>
      <c r="G449" s="20"/>
      <c r="H449" s="21"/>
      <c r="I449" s="55"/>
      <c r="J449" s="56"/>
      <c r="K449" s="17"/>
      <c r="L449" s="649"/>
    </row>
    <row r="450" spans="2:13" ht="15.75">
      <c r="B450" s="732" t="s">
        <v>970</v>
      </c>
      <c r="C450" s="19"/>
      <c r="D450" s="20"/>
      <c r="E450" s="20"/>
      <c r="F450" s="47"/>
      <c r="G450" s="20"/>
      <c r="H450" s="21"/>
      <c r="I450" s="55"/>
      <c r="J450" s="56"/>
      <c r="K450" s="17"/>
      <c r="L450" s="649"/>
    </row>
    <row r="451" spans="2:13" ht="15">
      <c r="B451" s="731" t="s">
        <v>971</v>
      </c>
      <c r="C451" s="19"/>
      <c r="D451" s="20"/>
      <c r="E451" s="20"/>
      <c r="F451" s="47">
        <v>15</v>
      </c>
      <c r="G451" s="20">
        <f>10.92/6</f>
        <v>1.82</v>
      </c>
      <c r="H451" s="21"/>
      <c r="I451" s="55">
        <v>7</v>
      </c>
      <c r="J451" s="56"/>
      <c r="K451" s="17"/>
      <c r="L451" s="649">
        <f>PRODUCT(C451:K451)</f>
        <v>191.1</v>
      </c>
    </row>
    <row r="452" spans="2:13" ht="15">
      <c r="B452" s="731" t="s">
        <v>972</v>
      </c>
      <c r="C452" s="19"/>
      <c r="D452" s="20"/>
      <c r="E452" s="20"/>
      <c r="F452" s="47">
        <v>25</v>
      </c>
      <c r="G452" s="20">
        <f>14.72/6</f>
        <v>2.4533333333333336</v>
      </c>
      <c r="H452" s="21"/>
      <c r="I452" s="55">
        <v>1</v>
      </c>
      <c r="J452" s="56"/>
      <c r="K452" s="17"/>
      <c r="L452" s="649">
        <f>PRODUCT(C452:K452)</f>
        <v>61.333333333333343</v>
      </c>
    </row>
    <row r="453" spans="2:13" ht="15">
      <c r="B453" s="731" t="s">
        <v>1042</v>
      </c>
      <c r="C453" s="19"/>
      <c r="D453" s="20"/>
      <c r="E453" s="20"/>
      <c r="F453" s="47">
        <f>26+78+10+14+10</f>
        <v>138</v>
      </c>
      <c r="G453" s="20">
        <v>3.47</v>
      </c>
      <c r="H453" s="21"/>
      <c r="I453" s="55">
        <v>1</v>
      </c>
      <c r="J453" s="56"/>
      <c r="K453" s="17"/>
      <c r="L453" s="649">
        <f>PRODUCT(C453:K453)</f>
        <v>478.86</v>
      </c>
    </row>
    <row r="454" spans="2:13" ht="15">
      <c r="B454" s="731"/>
      <c r="C454" s="19"/>
      <c r="D454" s="20"/>
      <c r="E454" s="20"/>
      <c r="F454" s="47"/>
      <c r="G454" s="20"/>
      <c r="H454" s="21"/>
      <c r="I454" s="55"/>
      <c r="J454" s="56"/>
      <c r="K454" s="17"/>
      <c r="L454" s="649"/>
    </row>
    <row r="455" spans="2:13" ht="15">
      <c r="B455" s="731" t="s">
        <v>1156</v>
      </c>
      <c r="C455" s="19"/>
      <c r="D455" s="20"/>
      <c r="E455" s="20"/>
      <c r="F455" s="47"/>
      <c r="G455" s="20"/>
      <c r="H455" s="21"/>
      <c r="I455" s="55"/>
      <c r="J455" s="56"/>
      <c r="K455" s="17"/>
      <c r="L455" s="649">
        <v>1000</v>
      </c>
    </row>
    <row r="456" spans="2:13" ht="15">
      <c r="B456" s="731"/>
      <c r="C456" s="19"/>
      <c r="D456" s="20"/>
      <c r="E456" s="20"/>
      <c r="F456" s="47"/>
      <c r="G456" s="20"/>
      <c r="H456" s="21"/>
      <c r="I456" s="55"/>
      <c r="J456" s="56"/>
      <c r="K456" s="17"/>
      <c r="L456" s="649"/>
      <c r="M456" s="630"/>
    </row>
    <row r="457" spans="2:13" ht="15.75">
      <c r="B457" s="1002" t="s">
        <v>414</v>
      </c>
      <c r="C457" s="1003"/>
      <c r="D457" s="1003"/>
      <c r="E457" s="1003"/>
      <c r="F457" s="1003"/>
      <c r="G457" s="1003"/>
      <c r="H457" s="1003"/>
      <c r="I457" s="1003"/>
      <c r="J457" s="1003"/>
      <c r="K457" s="1003"/>
      <c r="L457" s="1004"/>
    </row>
    <row r="458" spans="2:13">
      <c r="B458" s="651"/>
      <c r="L458" s="652"/>
    </row>
    <row r="459" spans="2:13" ht="15.75">
      <c r="B459" s="638" t="s">
        <v>398</v>
      </c>
      <c r="C459" s="8">
        <v>2</v>
      </c>
      <c r="D459" s="1008" t="s">
        <v>1027</v>
      </c>
      <c r="E459" s="1009"/>
      <c r="F459" s="1009"/>
      <c r="G459" s="1009"/>
      <c r="H459" s="1009"/>
      <c r="I459" s="1009"/>
      <c r="J459" s="1009"/>
      <c r="K459" s="1009"/>
      <c r="L459" s="1010"/>
    </row>
    <row r="460" spans="2:13" ht="7.15" customHeight="1">
      <c r="B460" s="1005"/>
      <c r="C460" s="1006"/>
      <c r="D460" s="1006"/>
      <c r="E460" s="1006"/>
      <c r="F460" s="1006"/>
      <c r="G460" s="1006"/>
      <c r="H460" s="1006"/>
      <c r="I460" s="1006"/>
      <c r="J460" s="1006"/>
      <c r="K460" s="1006"/>
      <c r="L460" s="1007"/>
    </row>
    <row r="461" spans="2:13" ht="63">
      <c r="B461" s="733" t="s">
        <v>399</v>
      </c>
      <c r="C461" s="11">
        <f>+'PROPUESTA ECONOMICA(Proponente)'!C36</f>
        <v>2.2999999999999998</v>
      </c>
      <c r="D461" s="12" t="str">
        <f>+VLOOKUP('MEMORIAS DE CANTIDADES'!C461,'PROPUESTA ECONOMICA(Proponente)'!$C$21:$H$310,5,FALSE)</f>
        <v>ESTRUCTURA EN PERFILERIA IPE: ASTM A 572 Gr. 50 Y Columnas en PTE-16"X12.7mm ASTM A 500 Gr (incluye suministro, figurado y fijación).</v>
      </c>
      <c r="E461" s="13"/>
      <c r="F461" s="12"/>
      <c r="G461" s="12"/>
      <c r="H461" s="12"/>
      <c r="I461" s="11" t="s">
        <v>400</v>
      </c>
      <c r="J461" s="12" t="str">
        <f>+VLOOKUP('MEMORIAS DE CANTIDADES'!C461,'PROPUESTA ECONOMICA(Proponente)'!$C$21:$H$310,6,FALSE)</f>
        <v>KG</v>
      </c>
      <c r="K461" s="11" t="s">
        <v>401</v>
      </c>
      <c r="L461" s="643">
        <f>SUM(L462:L470)/2</f>
        <v>0</v>
      </c>
    </row>
    <row r="462" spans="2:13" ht="15">
      <c r="B462" s="644"/>
      <c r="C462" s="16"/>
      <c r="D462" s="15"/>
      <c r="E462" s="15"/>
      <c r="F462" s="15"/>
      <c r="G462" s="15"/>
      <c r="H462" s="15"/>
      <c r="I462" s="15"/>
      <c r="J462" s="15"/>
      <c r="K462" s="17"/>
      <c r="L462" s="645"/>
    </row>
    <row r="463" spans="2:13" ht="47.25">
      <c r="B463" s="646" t="s">
        <v>402</v>
      </c>
      <c r="C463" s="18" t="s">
        <v>403</v>
      </c>
      <c r="D463" s="18" t="s">
        <v>404</v>
      </c>
      <c r="E463" s="18" t="s">
        <v>405</v>
      </c>
      <c r="F463" s="18" t="s">
        <v>406</v>
      </c>
      <c r="G463" s="18" t="s">
        <v>407</v>
      </c>
      <c r="H463" s="5" t="s">
        <v>408</v>
      </c>
      <c r="I463" s="18" t="s">
        <v>409</v>
      </c>
      <c r="J463" s="5" t="s">
        <v>410</v>
      </c>
      <c r="K463" s="5" t="s">
        <v>411</v>
      </c>
      <c r="L463" s="647" t="s">
        <v>412</v>
      </c>
    </row>
    <row r="464" spans="2:13" ht="15">
      <c r="B464" s="723"/>
      <c r="C464" s="19"/>
      <c r="D464" s="20"/>
      <c r="E464" s="20"/>
      <c r="F464" s="56"/>
      <c r="G464" s="56"/>
      <c r="H464" s="21"/>
      <c r="I464" s="55"/>
      <c r="J464" s="37"/>
      <c r="K464" s="17"/>
      <c r="L464" s="649">
        <f t="shared" ref="L464:L467" si="21">PRODUCT(C464:K464)</f>
        <v>0</v>
      </c>
    </row>
    <row r="465" spans="2:12" ht="15">
      <c r="B465" s="723"/>
      <c r="C465" s="19"/>
      <c r="D465" s="20"/>
      <c r="E465" s="20"/>
      <c r="F465" s="56"/>
      <c r="G465" s="56"/>
      <c r="H465" s="21"/>
      <c r="I465" s="55"/>
      <c r="J465" s="37"/>
      <c r="K465" s="17"/>
      <c r="L465" s="649">
        <f t="shared" si="21"/>
        <v>0</v>
      </c>
    </row>
    <row r="466" spans="2:12" ht="15">
      <c r="B466" s="723"/>
      <c r="C466" s="19"/>
      <c r="D466" s="20"/>
      <c r="E466" s="20"/>
      <c r="F466" s="56"/>
      <c r="G466" s="56"/>
      <c r="H466" s="21"/>
      <c r="I466" s="55"/>
      <c r="J466" s="37"/>
      <c r="K466" s="17"/>
      <c r="L466" s="649">
        <f t="shared" si="21"/>
        <v>0</v>
      </c>
    </row>
    <row r="467" spans="2:12" ht="15">
      <c r="B467" s="723"/>
      <c r="C467" s="19"/>
      <c r="D467" s="20"/>
      <c r="E467" s="20"/>
      <c r="F467" s="56"/>
      <c r="G467" s="56"/>
      <c r="H467" s="21"/>
      <c r="I467" s="55"/>
      <c r="J467" s="37"/>
      <c r="K467" s="17"/>
      <c r="L467" s="649">
        <f t="shared" si="21"/>
        <v>0</v>
      </c>
    </row>
    <row r="468" spans="2:12" ht="15">
      <c r="B468" s="723"/>
      <c r="C468" s="19"/>
      <c r="D468" s="20"/>
      <c r="E468" s="20"/>
      <c r="F468" s="56"/>
      <c r="G468" s="56"/>
      <c r="H468" s="21"/>
      <c r="I468" s="55"/>
      <c r="J468" s="37"/>
      <c r="K468" s="17"/>
      <c r="L468" s="649">
        <f>PRODUCT(C468:K468)</f>
        <v>0</v>
      </c>
    </row>
    <row r="469" spans="2:12" ht="15">
      <c r="B469" s="648"/>
      <c r="C469" s="19"/>
      <c r="D469" s="20"/>
      <c r="E469" s="20"/>
      <c r="F469" s="20"/>
      <c r="G469" s="20"/>
      <c r="H469" s="21"/>
      <c r="I469" s="17"/>
      <c r="J469" s="22"/>
      <c r="K469" s="17"/>
      <c r="L469" s="649"/>
    </row>
    <row r="470" spans="2:12" ht="15.75">
      <c r="B470" s="1002" t="s">
        <v>414</v>
      </c>
      <c r="C470" s="1003"/>
      <c r="D470" s="1003"/>
      <c r="E470" s="1003"/>
      <c r="F470" s="1003"/>
      <c r="G470" s="1003"/>
      <c r="H470" s="1003"/>
      <c r="I470" s="1003"/>
      <c r="J470" s="1003"/>
      <c r="K470" s="1003"/>
      <c r="L470" s="1004"/>
    </row>
    <row r="471" spans="2:12">
      <c r="B471" s="651"/>
      <c r="L471" s="652"/>
    </row>
    <row r="472" spans="2:12" ht="15.75">
      <c r="B472" s="638" t="s">
        <v>398</v>
      </c>
      <c r="C472" s="8">
        <v>2</v>
      </c>
      <c r="D472" s="1008" t="s">
        <v>1027</v>
      </c>
      <c r="E472" s="1009"/>
      <c r="F472" s="1009"/>
      <c r="G472" s="1009"/>
      <c r="H472" s="1009"/>
      <c r="I472" s="1009"/>
      <c r="J472" s="1009"/>
      <c r="K472" s="1009"/>
      <c r="L472" s="1010"/>
    </row>
    <row r="473" spans="2:12" ht="15">
      <c r="B473" s="1005"/>
      <c r="C473" s="1006"/>
      <c r="D473" s="1006"/>
      <c r="E473" s="1006"/>
      <c r="F473" s="1006"/>
      <c r="G473" s="1006"/>
      <c r="H473" s="1006"/>
      <c r="I473" s="1006"/>
      <c r="J473" s="1006"/>
      <c r="K473" s="1006"/>
      <c r="L473" s="1007"/>
    </row>
    <row r="474" spans="2:12" ht="47.25">
      <c r="B474" s="653" t="s">
        <v>399</v>
      </c>
      <c r="C474" s="26">
        <v>3</v>
      </c>
      <c r="D474" s="12" t="str">
        <f>+'PROPUESTA ECONOMICA(Proponente)'!G37</f>
        <v>ESTRUCTURA EN TUBERIA: ASTM A 500 Gr. C ó A36  para banca de suplentes (incluye suministro, figurado y fijación).</v>
      </c>
      <c r="E474" s="13"/>
      <c r="F474" s="12"/>
      <c r="G474" s="12"/>
      <c r="H474" s="12"/>
      <c r="I474" s="11" t="s">
        <v>400</v>
      </c>
      <c r="J474" s="12" t="e">
        <f>+VLOOKUP('MEMORIAS DE CANTIDADES'!C474,'PROPUESTA ECONOMICA(Proponente)'!$C$21:$H$310,6,FALSE)</f>
        <v>#N/A</v>
      </c>
      <c r="K474" s="11" t="s">
        <v>401</v>
      </c>
      <c r="L474" s="643">
        <f>SUM(L475:L485)</f>
        <v>1000</v>
      </c>
    </row>
    <row r="475" spans="2:12" ht="15">
      <c r="B475" s="644"/>
      <c r="C475" s="16"/>
      <c r="D475" s="15"/>
      <c r="E475" s="15"/>
      <c r="F475" s="15"/>
      <c r="G475" s="15"/>
      <c r="H475" s="15"/>
      <c r="I475" s="15"/>
      <c r="J475" s="15"/>
      <c r="K475" s="17"/>
      <c r="L475" s="645"/>
    </row>
    <row r="476" spans="2:12" ht="47.25">
      <c r="B476" s="646" t="s">
        <v>402</v>
      </c>
      <c r="C476" s="18" t="s">
        <v>403</v>
      </c>
      <c r="D476" s="18" t="s">
        <v>404</v>
      </c>
      <c r="E476" s="18" t="s">
        <v>405</v>
      </c>
      <c r="F476" s="18" t="s">
        <v>406</v>
      </c>
      <c r="G476" s="18" t="s">
        <v>407</v>
      </c>
      <c r="H476" s="5" t="s">
        <v>408</v>
      </c>
      <c r="I476" s="18" t="s">
        <v>409</v>
      </c>
      <c r="J476" s="5" t="s">
        <v>410</v>
      </c>
      <c r="K476" s="5" t="s">
        <v>411</v>
      </c>
      <c r="L476" s="647" t="s">
        <v>412</v>
      </c>
    </row>
    <row r="477" spans="2:12" ht="16.5">
      <c r="B477" s="708"/>
      <c r="C477" s="18"/>
      <c r="D477" s="18"/>
      <c r="E477" s="18"/>
      <c r="F477" s="45"/>
      <c r="G477" s="18"/>
      <c r="H477" s="5"/>
      <c r="I477" s="41"/>
      <c r="J477" s="46">
        <v>1000</v>
      </c>
      <c r="K477" s="5"/>
      <c r="L477" s="649">
        <f t="shared" ref="L477" si="22">PRODUCT(C477:K477)</f>
        <v>1000</v>
      </c>
    </row>
    <row r="478" spans="2:12" ht="16.5">
      <c r="B478" s="708"/>
      <c r="C478" s="18"/>
      <c r="D478" s="18"/>
      <c r="E478" s="18"/>
      <c r="F478" s="45"/>
      <c r="G478" s="18"/>
      <c r="H478" s="5"/>
      <c r="I478" s="41"/>
      <c r="J478" s="46"/>
      <c r="K478" s="5"/>
      <c r="L478" s="649"/>
    </row>
    <row r="479" spans="2:12" ht="16.5">
      <c r="B479" s="708"/>
      <c r="C479" s="18"/>
      <c r="D479" s="18"/>
      <c r="E479" s="18"/>
      <c r="F479" s="45"/>
      <c r="G479" s="18"/>
      <c r="H479" s="5"/>
      <c r="I479" s="41"/>
      <c r="J479" s="46"/>
      <c r="K479" s="5"/>
      <c r="L479" s="649"/>
    </row>
    <row r="480" spans="2:12" ht="16.5">
      <c r="B480" s="708"/>
      <c r="C480" s="18"/>
      <c r="D480" s="18"/>
      <c r="E480" s="18"/>
      <c r="F480" s="45"/>
      <c r="G480" s="18"/>
      <c r="H480" s="5"/>
      <c r="I480" s="41"/>
      <c r="J480" s="46"/>
      <c r="K480" s="5"/>
      <c r="L480" s="649"/>
    </row>
    <row r="481" spans="2:12" ht="16.5">
      <c r="B481" s="708"/>
      <c r="C481" s="18"/>
      <c r="D481" s="18"/>
      <c r="E481" s="18"/>
      <c r="F481" s="45"/>
      <c r="G481" s="18"/>
      <c r="H481" s="5"/>
      <c r="I481" s="41"/>
      <c r="J481" s="46"/>
      <c r="K481" s="5"/>
      <c r="L481" s="649"/>
    </row>
    <row r="482" spans="2:12" ht="16.5">
      <c r="B482" s="708"/>
      <c r="C482" s="18"/>
      <c r="D482" s="18"/>
      <c r="E482" s="18"/>
      <c r="F482" s="45"/>
      <c r="G482" s="18"/>
      <c r="H482" s="5"/>
      <c r="I482" s="41"/>
      <c r="J482" s="46"/>
      <c r="K482" s="5"/>
      <c r="L482" s="649"/>
    </row>
    <row r="483" spans="2:12" ht="16.5">
      <c r="B483" s="708"/>
      <c r="C483" s="18"/>
      <c r="D483" s="18"/>
      <c r="E483" s="18"/>
      <c r="F483" s="45"/>
      <c r="G483" s="18"/>
      <c r="H483" s="5"/>
      <c r="I483" s="41"/>
      <c r="J483" s="46"/>
      <c r="K483" s="5"/>
      <c r="L483" s="649"/>
    </row>
    <row r="484" spans="2:12" ht="16.5">
      <c r="B484" s="708"/>
      <c r="C484" s="18"/>
      <c r="D484" s="18"/>
      <c r="E484" s="18"/>
      <c r="F484" s="45"/>
      <c r="G484" s="18"/>
      <c r="H484" s="5"/>
      <c r="I484" s="41"/>
      <c r="J484" s="46"/>
      <c r="K484" s="5"/>
      <c r="L484" s="649"/>
    </row>
    <row r="485" spans="2:12" ht="16.5">
      <c r="B485" s="708"/>
      <c r="C485" s="18"/>
      <c r="D485" s="18"/>
      <c r="E485" s="18"/>
      <c r="F485" s="45"/>
      <c r="G485" s="18"/>
      <c r="H485" s="5"/>
      <c r="I485" s="41"/>
      <c r="J485" s="46"/>
      <c r="K485" s="5"/>
      <c r="L485" s="649"/>
    </row>
    <row r="486" spans="2:12">
      <c r="B486" s="651"/>
      <c r="L486" s="652"/>
    </row>
    <row r="487" spans="2:12" ht="15.75">
      <c r="B487" s="638" t="s">
        <v>398</v>
      </c>
      <c r="C487" s="8">
        <v>2</v>
      </c>
      <c r="D487" s="1008" t="s">
        <v>1027</v>
      </c>
      <c r="E487" s="1009"/>
      <c r="F487" s="1009"/>
      <c r="G487" s="1009"/>
      <c r="H487" s="1009"/>
      <c r="I487" s="1009"/>
      <c r="J487" s="1009"/>
      <c r="K487" s="1009"/>
      <c r="L487" s="1010"/>
    </row>
    <row r="488" spans="2:12" ht="15">
      <c r="B488" s="1005"/>
      <c r="C488" s="1006"/>
      <c r="D488" s="1006"/>
      <c r="E488" s="1006"/>
      <c r="F488" s="1006"/>
      <c r="G488" s="1006"/>
      <c r="H488" s="1006"/>
      <c r="I488" s="1006"/>
      <c r="J488" s="1006"/>
      <c r="K488" s="1006"/>
      <c r="L488" s="1007"/>
    </row>
    <row r="489" spans="2:12" ht="31.5">
      <c r="B489" s="733" t="s">
        <v>399</v>
      </c>
      <c r="C489" s="11">
        <f>+'PROPUESTA ECONOMICA(Proponente)'!C38</f>
        <v>2.5</v>
      </c>
      <c r="D489" s="12" t="str">
        <f>+VLOOKUP('MEMORIAS DE CANTIDADES'!C489,'PROPUESTA ECONOMICA(Proponente)'!$C$21:$H$310,5,FALSE)</f>
        <v>Acero de refuerzo Tanque de almacenamiento (incluye suministro, figurado y fijación)</v>
      </c>
      <c r="E489" s="13"/>
      <c r="F489" s="12"/>
      <c r="G489" s="12"/>
      <c r="H489" s="12"/>
      <c r="I489" s="11" t="s">
        <v>400</v>
      </c>
      <c r="J489" s="12" t="str">
        <f>+VLOOKUP('MEMORIAS DE CANTIDADES'!C489,'PROPUESTA ECONOMICA(Proponente)'!$C$21:$H$310,6,FALSE)</f>
        <v>KG</v>
      </c>
      <c r="K489" s="11" t="s">
        <v>401</v>
      </c>
      <c r="L489" s="643">
        <f>SUM(L490:L499)</f>
        <v>5609.0999999999995</v>
      </c>
    </row>
    <row r="490" spans="2:12" ht="15">
      <c r="B490" s="644"/>
      <c r="C490" s="16"/>
      <c r="D490" s="15"/>
      <c r="E490" s="15"/>
      <c r="F490" s="15"/>
      <c r="G490" s="15"/>
      <c r="H490" s="15"/>
      <c r="I490" s="15"/>
      <c r="J490" s="15"/>
      <c r="K490" s="17"/>
      <c r="L490" s="645"/>
    </row>
    <row r="491" spans="2:12" ht="47.25">
      <c r="B491" s="646" t="s">
        <v>402</v>
      </c>
      <c r="C491" s="18" t="s">
        <v>403</v>
      </c>
      <c r="D491" s="18" t="s">
        <v>404</v>
      </c>
      <c r="E491" s="18" t="s">
        <v>405</v>
      </c>
      <c r="F491" s="18" t="s">
        <v>406</v>
      </c>
      <c r="G491" s="18" t="s">
        <v>407</v>
      </c>
      <c r="H491" s="5" t="s">
        <v>408</v>
      </c>
      <c r="I491" s="18" t="s">
        <v>409</v>
      </c>
      <c r="J491" s="5" t="s">
        <v>410</v>
      </c>
      <c r="K491" s="5" t="s">
        <v>411</v>
      </c>
      <c r="L491" s="647" t="s">
        <v>412</v>
      </c>
    </row>
    <row r="492" spans="2:12" ht="16.5">
      <c r="B492" s="658" t="s">
        <v>481</v>
      </c>
      <c r="C492" s="18"/>
      <c r="D492" s="18"/>
      <c r="E492" s="18"/>
      <c r="F492" s="39"/>
      <c r="G492" s="18"/>
      <c r="H492" s="5"/>
      <c r="I492" s="41"/>
      <c r="J492" s="46"/>
      <c r="K492" s="5"/>
      <c r="L492" s="649">
        <f t="shared" ref="L492:L496" si="23">PRODUCT(C492:K492)</f>
        <v>0</v>
      </c>
    </row>
    <row r="493" spans="2:12" ht="16.5">
      <c r="B493" s="708" t="s">
        <v>482</v>
      </c>
      <c r="C493" s="48"/>
      <c r="D493" s="48"/>
      <c r="E493" s="48"/>
      <c r="F493" s="43">
        <f>(5.75*4+60)*9</f>
        <v>747</v>
      </c>
      <c r="G493" s="48">
        <v>1</v>
      </c>
      <c r="H493" s="30"/>
      <c r="I493" s="41">
        <v>1</v>
      </c>
      <c r="J493" s="46"/>
      <c r="K493" s="30"/>
      <c r="L493" s="649">
        <f t="shared" si="23"/>
        <v>747</v>
      </c>
    </row>
    <row r="494" spans="2:12" ht="16.5">
      <c r="B494" s="708" t="s">
        <v>483</v>
      </c>
      <c r="C494" s="48"/>
      <c r="D494" s="48"/>
      <c r="E494" s="48"/>
      <c r="F494" s="44">
        <f>5.7*2*68+34*(12+9+4)+68*1*2+34*1*4</f>
        <v>1897.2</v>
      </c>
      <c r="G494" s="48">
        <v>1</v>
      </c>
      <c r="H494" s="30"/>
      <c r="I494" s="41">
        <v>1</v>
      </c>
      <c r="J494" s="46"/>
      <c r="K494" s="30"/>
      <c r="L494" s="649">
        <f t="shared" si="23"/>
        <v>1897.2</v>
      </c>
    </row>
    <row r="495" spans="2:12" ht="16.5">
      <c r="B495" s="708" t="s">
        <v>484</v>
      </c>
      <c r="C495" s="48"/>
      <c r="D495" s="48"/>
      <c r="E495" s="48"/>
      <c r="F495" s="44">
        <f>2.95*446</f>
        <v>1315.7</v>
      </c>
      <c r="G495" s="48">
        <v>1</v>
      </c>
      <c r="H495" s="30"/>
      <c r="I495" s="41">
        <v>1</v>
      </c>
      <c r="J495" s="46"/>
      <c r="K495" s="30"/>
      <c r="L495" s="649">
        <f t="shared" si="23"/>
        <v>1315.7</v>
      </c>
    </row>
    <row r="496" spans="2:12" ht="16.5">
      <c r="B496" s="708" t="s">
        <v>485</v>
      </c>
      <c r="C496" s="48"/>
      <c r="D496" s="48"/>
      <c r="E496" s="48"/>
      <c r="F496" s="49">
        <f>5.7*2*68+34*(12+9+4)+2*8*1.5</f>
        <v>1649.2</v>
      </c>
      <c r="G496" s="48">
        <v>1</v>
      </c>
      <c r="H496" s="30"/>
      <c r="I496" s="41">
        <v>1</v>
      </c>
      <c r="J496" s="46"/>
      <c r="K496" s="30"/>
      <c r="L496" s="649">
        <f t="shared" si="23"/>
        <v>1649.2</v>
      </c>
    </row>
    <row r="497" spans="2:12" ht="16.5">
      <c r="B497" s="734"/>
      <c r="C497" s="50"/>
      <c r="D497" s="50"/>
      <c r="E497" s="50"/>
      <c r="F497" s="51"/>
      <c r="G497" s="50"/>
      <c r="H497" s="52"/>
      <c r="I497" s="53"/>
      <c r="J497" s="54"/>
      <c r="K497" s="52"/>
      <c r="L497" s="691"/>
    </row>
    <row r="498" spans="2:12" ht="16.5">
      <c r="B498" s="731"/>
      <c r="C498" s="19"/>
      <c r="D498" s="20"/>
      <c r="E498" s="20"/>
      <c r="F498" s="47"/>
      <c r="G498" s="20"/>
      <c r="H498" s="21"/>
      <c r="I498" s="41"/>
      <c r="J498" s="46"/>
      <c r="K498" s="17"/>
      <c r="L498" s="649"/>
    </row>
    <row r="499" spans="2:12" ht="15.75">
      <c r="B499" s="1002" t="s">
        <v>414</v>
      </c>
      <c r="C499" s="1003"/>
      <c r="D499" s="1003"/>
      <c r="E499" s="1003"/>
      <c r="F499" s="1003"/>
      <c r="G499" s="1003"/>
      <c r="H499" s="1003"/>
      <c r="I499" s="1003"/>
      <c r="J499" s="1003"/>
      <c r="K499" s="1003"/>
      <c r="L499" s="1004"/>
    </row>
    <row r="500" spans="2:12">
      <c r="B500" s="651"/>
      <c r="L500" s="652"/>
    </row>
    <row r="501" spans="2:12">
      <c r="B501" s="651"/>
      <c r="L501" s="652"/>
    </row>
    <row r="502" spans="2:12" ht="15.75">
      <c r="B502" s="638" t="s">
        <v>398</v>
      </c>
      <c r="C502" s="8">
        <v>3</v>
      </c>
      <c r="D502" s="1008" t="s">
        <v>1028</v>
      </c>
      <c r="E502" s="1009"/>
      <c r="F502" s="1009"/>
      <c r="G502" s="1009"/>
      <c r="H502" s="1009"/>
      <c r="I502" s="1009"/>
      <c r="J502" s="1009"/>
      <c r="K502" s="1009"/>
      <c r="L502" s="1010"/>
    </row>
    <row r="503" spans="2:12" ht="15">
      <c r="B503" s="1005"/>
      <c r="C503" s="1006"/>
      <c r="D503" s="1006"/>
      <c r="E503" s="1006"/>
      <c r="F503" s="1006"/>
      <c r="G503" s="1006"/>
      <c r="H503" s="1006"/>
      <c r="I503" s="1006"/>
      <c r="J503" s="1006"/>
      <c r="K503" s="1006"/>
      <c r="L503" s="1007"/>
    </row>
    <row r="504" spans="2:12" ht="47.25">
      <c r="B504" s="653" t="s">
        <v>399</v>
      </c>
      <c r="C504" s="11">
        <f>+'PROPUESTA ECONOMICA(Proponente)'!C41</f>
        <v>3.1</v>
      </c>
      <c r="D504" s="12" t="str">
        <f>+VLOOKUP('MEMORIAS DE CANTIDADES'!C504,'PROPUESTA ECONOMICA(Proponente)'!$C$21:$H$310,5,FALSE)</f>
        <v>EXCAVACIONES :Excavación manual, cimentación (Incluye cargue, transporte y disposición final).</v>
      </c>
      <c r="E504" s="13"/>
      <c r="F504" s="12"/>
      <c r="G504" s="12"/>
      <c r="H504" s="12"/>
      <c r="I504" s="11" t="s">
        <v>400</v>
      </c>
      <c r="J504" s="12" t="str">
        <f>+VLOOKUP('MEMORIAS DE CANTIDADES'!C504,'PROPUESTA ECONOMICA(Proponente)'!$C$21:$H$310,6,FALSE)</f>
        <v>m3</v>
      </c>
      <c r="K504" s="11" t="s">
        <v>401</v>
      </c>
      <c r="L504" s="643">
        <f>SUM(L505:L583)</f>
        <v>5447.894870000001</v>
      </c>
    </row>
    <row r="505" spans="2:12" ht="15">
      <c r="B505" s="644"/>
      <c r="C505" s="16"/>
      <c r="D505" s="15"/>
      <c r="E505" s="15"/>
      <c r="F505" s="15"/>
      <c r="G505" s="15"/>
      <c r="H505" s="15"/>
      <c r="I505" s="15"/>
      <c r="J505" s="15"/>
      <c r="K505" s="17"/>
      <c r="L505" s="645"/>
    </row>
    <row r="506" spans="2:12" ht="47.25">
      <c r="B506" s="646" t="s">
        <v>402</v>
      </c>
      <c r="C506" s="18" t="s">
        <v>403</v>
      </c>
      <c r="D506" s="18" t="s">
        <v>404</v>
      </c>
      <c r="E506" s="18" t="s">
        <v>405</v>
      </c>
      <c r="F506" s="18" t="s">
        <v>406</v>
      </c>
      <c r="G506" s="18" t="s">
        <v>407</v>
      </c>
      <c r="H506" s="5" t="s">
        <v>408</v>
      </c>
      <c r="I506" s="18" t="s">
        <v>409</v>
      </c>
      <c r="J506" s="5" t="s">
        <v>410</v>
      </c>
      <c r="K506" s="5" t="s">
        <v>411</v>
      </c>
      <c r="L506" s="647" t="s">
        <v>412</v>
      </c>
    </row>
    <row r="507" spans="2:12" ht="16.5">
      <c r="B507" s="658" t="s">
        <v>438</v>
      </c>
      <c r="C507" s="18"/>
      <c r="D507" s="18"/>
      <c r="E507" s="18"/>
      <c r="G507" s="18"/>
      <c r="H507" s="5"/>
      <c r="I507" s="41"/>
      <c r="J507" s="46"/>
      <c r="K507" s="5"/>
      <c r="L507" s="649"/>
    </row>
    <row r="508" spans="2:12" ht="15">
      <c r="B508" s="708" t="s">
        <v>717</v>
      </c>
      <c r="C508" s="48"/>
      <c r="D508" s="48">
        <v>4.4000000000000004</v>
      </c>
      <c r="E508" s="48">
        <v>1.8</v>
      </c>
      <c r="F508" s="45">
        <v>7.5</v>
      </c>
      <c r="G508" s="48"/>
      <c r="H508" s="30"/>
      <c r="I508" s="55">
        <v>3</v>
      </c>
      <c r="J508" s="56">
        <v>2</v>
      </c>
      <c r="K508" s="30">
        <v>1.1000000000000001</v>
      </c>
      <c r="L508" s="649">
        <f>PRODUCT(C508:K508)</f>
        <v>392.04000000000008</v>
      </c>
    </row>
    <row r="509" spans="2:12" ht="15">
      <c r="B509" s="708" t="s">
        <v>718</v>
      </c>
      <c r="C509" s="48"/>
      <c r="D509" s="48">
        <v>2.5</v>
      </c>
      <c r="E509" s="48">
        <v>1.8</v>
      </c>
      <c r="F509" s="45">
        <v>6.65</v>
      </c>
      <c r="G509" s="48"/>
      <c r="H509" s="30"/>
      <c r="I509" s="55">
        <v>1</v>
      </c>
      <c r="J509" s="56">
        <v>2</v>
      </c>
      <c r="K509" s="30">
        <v>1.1000000000000001</v>
      </c>
      <c r="L509" s="649">
        <f>PRODUCT(C509:K509)</f>
        <v>65.835000000000008</v>
      </c>
    </row>
    <row r="510" spans="2:12" ht="15">
      <c r="B510" s="708" t="s">
        <v>750</v>
      </c>
      <c r="C510" s="48"/>
      <c r="D510" s="48">
        <v>0.4</v>
      </c>
      <c r="E510" s="48">
        <v>0.8</v>
      </c>
      <c r="F510" s="45">
        <f>10.09*2+6.35*2+4.26*2+1.15*2</f>
        <v>43.699999999999989</v>
      </c>
      <c r="G510" s="48"/>
      <c r="H510" s="30"/>
      <c r="I510" s="55"/>
      <c r="J510" s="56">
        <v>2</v>
      </c>
      <c r="K510" s="30">
        <v>1.1000000000000001</v>
      </c>
      <c r="L510" s="649">
        <f>PRODUCT(C510:K510)</f>
        <v>30.764799999999997</v>
      </c>
    </row>
    <row r="511" spans="2:12" ht="15">
      <c r="B511" s="708" t="s">
        <v>751</v>
      </c>
      <c r="C511" s="48"/>
      <c r="D511" s="48">
        <v>0.5</v>
      </c>
      <c r="E511" s="48">
        <v>0.8</v>
      </c>
      <c r="F511" s="45">
        <v>3.3</v>
      </c>
      <c r="G511" s="48"/>
      <c r="H511" s="30"/>
      <c r="I511" s="55"/>
      <c r="J511" s="56">
        <v>2</v>
      </c>
      <c r="K511" s="30">
        <v>1.1000000000000001</v>
      </c>
      <c r="L511" s="649">
        <f t="shared" ref="L511:L513" si="24">PRODUCT(C511:K511)</f>
        <v>2.9040000000000004</v>
      </c>
    </row>
    <row r="512" spans="2:12" ht="15">
      <c r="B512" s="708" t="s">
        <v>752</v>
      </c>
      <c r="C512" s="48"/>
      <c r="D512" s="48">
        <v>0.3</v>
      </c>
      <c r="E512" s="48">
        <v>0.8</v>
      </c>
      <c r="F512" s="45">
        <f>3.6*7</f>
        <v>25.2</v>
      </c>
      <c r="G512" s="48"/>
      <c r="H512" s="30"/>
      <c r="I512" s="55"/>
      <c r="J512" s="56">
        <v>2</v>
      </c>
      <c r="K512" s="30">
        <v>1.1000000000000001</v>
      </c>
      <c r="L512" s="649">
        <f t="shared" si="24"/>
        <v>13.305600000000002</v>
      </c>
    </row>
    <row r="513" spans="2:12" ht="15">
      <c r="B513" s="708" t="s">
        <v>753</v>
      </c>
      <c r="C513" s="48"/>
      <c r="D513" s="48">
        <v>0.3</v>
      </c>
      <c r="E513" s="48">
        <v>0.8</v>
      </c>
      <c r="F513" s="45">
        <v>3.88</v>
      </c>
      <c r="G513" s="48"/>
      <c r="H513" s="30"/>
      <c r="I513" s="55"/>
      <c r="J513" s="56">
        <v>2</v>
      </c>
      <c r="K513" s="30">
        <v>1.1000000000000001</v>
      </c>
      <c r="L513" s="649">
        <f t="shared" si="24"/>
        <v>2.0486399999999998</v>
      </c>
    </row>
    <row r="514" spans="2:12" ht="16.5">
      <c r="B514" s="708"/>
      <c r="C514" s="48"/>
      <c r="D514" s="48"/>
      <c r="E514" s="48"/>
      <c r="F514" s="45"/>
      <c r="G514" s="48"/>
      <c r="H514" s="30"/>
      <c r="I514" s="41"/>
      <c r="J514" s="46"/>
      <c r="K514" s="30"/>
      <c r="L514" s="649"/>
    </row>
    <row r="515" spans="2:12" ht="15.75">
      <c r="B515" s="735"/>
      <c r="C515" s="18"/>
      <c r="D515" s="18"/>
      <c r="E515" s="59"/>
      <c r="F515" s="45"/>
      <c r="G515" s="18"/>
      <c r="H515" s="5"/>
      <c r="I515" s="55"/>
      <c r="J515" s="56"/>
      <c r="K515" s="5"/>
      <c r="L515" s="649"/>
    </row>
    <row r="516" spans="2:12" ht="15.75">
      <c r="B516" s="736" t="s">
        <v>754</v>
      </c>
      <c r="C516" s="18"/>
      <c r="D516" s="18"/>
      <c r="E516" s="59"/>
      <c r="F516" s="45"/>
      <c r="G516" s="18"/>
      <c r="H516" s="5"/>
      <c r="I516" s="55"/>
      <c r="J516" s="56"/>
      <c r="K516" s="5"/>
      <c r="L516" s="649"/>
    </row>
    <row r="517" spans="2:12" ht="15.75">
      <c r="B517" s="734" t="s">
        <v>599</v>
      </c>
      <c r="C517" s="18"/>
      <c r="D517" s="990">
        <v>10</v>
      </c>
      <c r="E517" s="990">
        <v>2.5</v>
      </c>
      <c r="F517" s="990">
        <v>3.5</v>
      </c>
      <c r="G517" s="18"/>
      <c r="H517" s="5"/>
      <c r="I517" s="990">
        <v>18</v>
      </c>
      <c r="J517" s="56"/>
      <c r="K517" s="30">
        <v>1.1000000000000001</v>
      </c>
      <c r="L517" s="1031">
        <f>PRODUCT(C517:K517)</f>
        <v>1732.5000000000002</v>
      </c>
    </row>
    <row r="518" spans="2:12" ht="15.75">
      <c r="B518" s="734" t="s">
        <v>600</v>
      </c>
      <c r="C518" s="18"/>
      <c r="D518" s="991"/>
      <c r="E518" s="991"/>
      <c r="F518" s="991"/>
      <c r="G518" s="18"/>
      <c r="H518" s="5"/>
      <c r="I518" s="991"/>
      <c r="J518" s="56"/>
      <c r="K518" s="5"/>
      <c r="L518" s="1032">
        <f>PRODUCT(C518:K518)</f>
        <v>0</v>
      </c>
    </row>
    <row r="519" spans="2:12" ht="15.75">
      <c r="B519" s="734" t="s">
        <v>601</v>
      </c>
      <c r="C519" s="18"/>
      <c r="D519" s="992"/>
      <c r="E519" s="992"/>
      <c r="F519" s="992"/>
      <c r="G519" s="18"/>
      <c r="H519" s="5"/>
      <c r="I519" s="992"/>
      <c r="J519" s="56"/>
      <c r="K519" s="5"/>
      <c r="L519" s="1033">
        <f>PRODUCT(C519:K519)</f>
        <v>0</v>
      </c>
    </row>
    <row r="520" spans="2:12" ht="15.75">
      <c r="B520" s="708" t="s">
        <v>755</v>
      </c>
      <c r="C520" s="18"/>
      <c r="D520" s="48">
        <v>0.3</v>
      </c>
      <c r="E520" s="59">
        <v>0.8</v>
      </c>
      <c r="F520" s="45">
        <f>2.9*2</f>
        <v>5.8</v>
      </c>
      <c r="G520" s="18"/>
      <c r="H520" s="5"/>
      <c r="I520" s="55">
        <v>2</v>
      </c>
      <c r="J520" s="56"/>
      <c r="K520" s="30">
        <v>1.1000000000000001</v>
      </c>
      <c r="L520" s="649">
        <f>PRODUCT(C520:K520)</f>
        <v>3.0624000000000002</v>
      </c>
    </row>
    <row r="521" spans="2:12" ht="15.75">
      <c r="B521" s="708" t="s">
        <v>756</v>
      </c>
      <c r="C521" s="18"/>
      <c r="D521" s="48">
        <v>3</v>
      </c>
      <c r="E521" s="59">
        <v>0.8</v>
      </c>
      <c r="F521" s="45">
        <f>3.4*2</f>
        <v>6.8</v>
      </c>
      <c r="G521" s="18"/>
      <c r="H521" s="5"/>
      <c r="I521" s="55">
        <v>2</v>
      </c>
      <c r="J521" s="56"/>
      <c r="K521" s="30">
        <v>1.1000000000000001</v>
      </c>
      <c r="L521" s="649">
        <f t="shared" ref="L521:L531" si="25">PRODUCT(C521:K521)</f>
        <v>35.904000000000003</v>
      </c>
    </row>
    <row r="522" spans="2:12" ht="15.75">
      <c r="B522" s="708" t="s">
        <v>757</v>
      </c>
      <c r="C522" s="18"/>
      <c r="D522" s="48">
        <v>0.3</v>
      </c>
      <c r="E522" s="59">
        <v>0.8</v>
      </c>
      <c r="F522" s="45">
        <f>2.8*2</f>
        <v>5.6</v>
      </c>
      <c r="G522" s="18"/>
      <c r="H522" s="5"/>
      <c r="I522" s="55">
        <v>2</v>
      </c>
      <c r="J522" s="56"/>
      <c r="K522" s="30">
        <v>1.1000000000000001</v>
      </c>
      <c r="L522" s="649">
        <f t="shared" si="25"/>
        <v>2.9567999999999999</v>
      </c>
    </row>
    <row r="523" spans="2:12" ht="15.75">
      <c r="B523" s="708" t="s">
        <v>758</v>
      </c>
      <c r="C523" s="18"/>
      <c r="D523" s="48">
        <v>0.3</v>
      </c>
      <c r="E523" s="59">
        <v>0.8</v>
      </c>
      <c r="F523" s="45">
        <f>3.3*1</f>
        <v>3.3</v>
      </c>
      <c r="G523" s="18"/>
      <c r="H523" s="5"/>
      <c r="I523" s="55">
        <v>2</v>
      </c>
      <c r="J523" s="56"/>
      <c r="K523" s="30">
        <v>1.1000000000000001</v>
      </c>
      <c r="L523" s="649">
        <f t="shared" si="25"/>
        <v>1.7423999999999999</v>
      </c>
    </row>
    <row r="524" spans="2:12" ht="15.75">
      <c r="B524" s="708" t="s">
        <v>759</v>
      </c>
      <c r="C524" s="18"/>
      <c r="D524" s="48">
        <v>0.3</v>
      </c>
      <c r="E524" s="59">
        <v>0.8</v>
      </c>
      <c r="F524" s="45">
        <v>2.6</v>
      </c>
      <c r="G524" s="18"/>
      <c r="H524" s="5"/>
      <c r="I524" s="55">
        <v>2</v>
      </c>
      <c r="J524" s="56"/>
      <c r="K524" s="30">
        <v>1.1000000000000001</v>
      </c>
      <c r="L524" s="649">
        <f t="shared" si="25"/>
        <v>1.3728</v>
      </c>
    </row>
    <row r="525" spans="2:12" ht="15.75">
      <c r="B525" s="708" t="s">
        <v>760</v>
      </c>
      <c r="C525" s="18"/>
      <c r="D525" s="48">
        <v>0.4</v>
      </c>
      <c r="E525" s="59">
        <v>0.8</v>
      </c>
      <c r="F525" s="45">
        <f>+(5.59+5.5+5.5+5.27+5.2+5.2+5.2+5.3)*3</f>
        <v>128.28</v>
      </c>
      <c r="G525" s="18"/>
      <c r="H525" s="5"/>
      <c r="I525" s="55">
        <v>2</v>
      </c>
      <c r="J525" s="56"/>
      <c r="K525" s="30">
        <v>1.1000000000000001</v>
      </c>
      <c r="L525" s="649">
        <f t="shared" si="25"/>
        <v>90.309120000000021</v>
      </c>
    </row>
    <row r="526" spans="2:12" ht="15.75">
      <c r="B526" s="708" t="s">
        <v>761</v>
      </c>
      <c r="C526" s="18"/>
      <c r="D526" s="48">
        <v>0.3</v>
      </c>
      <c r="E526" s="59">
        <v>0.8</v>
      </c>
      <c r="F526" s="45">
        <v>2.04</v>
      </c>
      <c r="G526" s="18"/>
      <c r="H526" s="5"/>
      <c r="I526" s="55"/>
      <c r="J526" s="56"/>
      <c r="K526" s="30">
        <v>1.1000000000000001</v>
      </c>
      <c r="L526" s="649">
        <f t="shared" si="25"/>
        <v>0.53856000000000004</v>
      </c>
    </row>
    <row r="527" spans="2:12" ht="15.75">
      <c r="B527" s="708" t="s">
        <v>762</v>
      </c>
      <c r="C527" s="18"/>
      <c r="D527" s="48">
        <v>0.3</v>
      </c>
      <c r="E527" s="59">
        <v>0.8</v>
      </c>
      <c r="F527" s="45">
        <f>+(4.08+2)*6</f>
        <v>36.480000000000004</v>
      </c>
      <c r="G527" s="18"/>
      <c r="H527" s="5"/>
      <c r="I527" s="55">
        <v>2</v>
      </c>
      <c r="J527" s="56"/>
      <c r="K527" s="30">
        <v>1.1000000000000001</v>
      </c>
      <c r="L527" s="649">
        <f t="shared" si="25"/>
        <v>19.261440000000004</v>
      </c>
    </row>
    <row r="528" spans="2:12" ht="15.75">
      <c r="B528" s="708" t="s">
        <v>763</v>
      </c>
      <c r="C528" s="18"/>
      <c r="D528" s="48">
        <v>0.3</v>
      </c>
      <c r="E528" s="59">
        <v>0.8</v>
      </c>
      <c r="F528" s="45">
        <f>2*5*2</f>
        <v>20</v>
      </c>
      <c r="G528" s="18"/>
      <c r="H528" s="5"/>
      <c r="I528" s="55">
        <v>2</v>
      </c>
      <c r="J528" s="56"/>
      <c r="K528" s="30">
        <v>1.1000000000000001</v>
      </c>
      <c r="L528" s="649">
        <f t="shared" si="25"/>
        <v>10.56</v>
      </c>
    </row>
    <row r="529" spans="2:12" ht="15.75">
      <c r="B529" s="708" t="s">
        <v>764</v>
      </c>
      <c r="C529" s="18"/>
      <c r="D529" s="48">
        <v>0.3</v>
      </c>
      <c r="E529" s="59">
        <v>0.8</v>
      </c>
      <c r="F529" s="45">
        <f>4.05*4</f>
        <v>16.2</v>
      </c>
      <c r="G529" s="18"/>
      <c r="H529" s="5"/>
      <c r="I529" s="55">
        <v>2</v>
      </c>
      <c r="J529" s="56"/>
      <c r="K529" s="30">
        <v>1.1000000000000001</v>
      </c>
      <c r="L529" s="649">
        <f t="shared" si="25"/>
        <v>8.5536000000000012</v>
      </c>
    </row>
    <row r="530" spans="2:12" ht="15.75">
      <c r="B530" s="708" t="s">
        <v>765</v>
      </c>
      <c r="C530" s="18"/>
      <c r="D530" s="48">
        <v>0.3</v>
      </c>
      <c r="E530" s="59">
        <v>0.8</v>
      </c>
      <c r="F530" s="45">
        <f>6.08*4</f>
        <v>24.32</v>
      </c>
      <c r="G530" s="18"/>
      <c r="H530" s="5"/>
      <c r="I530" s="55">
        <v>2</v>
      </c>
      <c r="J530" s="56"/>
      <c r="K530" s="30">
        <v>1.1000000000000001</v>
      </c>
      <c r="L530" s="649">
        <f t="shared" si="25"/>
        <v>12.840960000000001</v>
      </c>
    </row>
    <row r="531" spans="2:12" ht="15.75">
      <c r="B531" s="708" t="s">
        <v>766</v>
      </c>
      <c r="C531" s="18"/>
      <c r="D531" s="48">
        <v>0.3</v>
      </c>
      <c r="E531" s="59">
        <v>0.8</v>
      </c>
      <c r="F531" s="45">
        <v>2.04</v>
      </c>
      <c r="G531" s="18"/>
      <c r="H531" s="5"/>
      <c r="I531" s="55">
        <v>2</v>
      </c>
      <c r="J531" s="56"/>
      <c r="K531" s="30">
        <v>1.1000000000000001</v>
      </c>
      <c r="L531" s="649">
        <f t="shared" si="25"/>
        <v>1.0771200000000001</v>
      </c>
    </row>
    <row r="532" spans="2:12" ht="15.75">
      <c r="B532" s="708"/>
      <c r="C532" s="18"/>
      <c r="D532" s="48"/>
      <c r="E532" s="59"/>
      <c r="F532" s="45"/>
      <c r="G532" s="18"/>
      <c r="H532" s="5"/>
      <c r="I532" s="55"/>
      <c r="J532" s="56"/>
      <c r="K532" s="5"/>
      <c r="L532" s="649"/>
    </row>
    <row r="533" spans="2:12" ht="15.75">
      <c r="B533" s="734"/>
      <c r="C533" s="18"/>
      <c r="D533" s="18"/>
      <c r="E533" s="59"/>
      <c r="F533" s="45"/>
      <c r="G533" s="18"/>
      <c r="H533" s="5"/>
      <c r="I533" s="55"/>
      <c r="J533" s="56"/>
      <c r="K533" s="5"/>
      <c r="L533" s="649"/>
    </row>
    <row r="534" spans="2:12" ht="15.75">
      <c r="B534" s="715" t="s">
        <v>659</v>
      </c>
      <c r="C534" s="18"/>
      <c r="D534" s="18"/>
      <c r="E534" s="59"/>
      <c r="F534" s="45"/>
      <c r="G534" s="18"/>
      <c r="H534" s="5"/>
      <c r="I534" s="55"/>
      <c r="J534" s="56"/>
      <c r="K534" s="5"/>
      <c r="L534" s="649"/>
    </row>
    <row r="535" spans="2:12" ht="15.75">
      <c r="B535" s="734" t="s">
        <v>660</v>
      </c>
      <c r="C535" s="18"/>
      <c r="D535" s="990">
        <v>10</v>
      </c>
      <c r="E535" s="990">
        <v>2.5</v>
      </c>
      <c r="F535" s="993">
        <v>3.5</v>
      </c>
      <c r="G535" s="18"/>
      <c r="H535" s="5"/>
      <c r="I535" s="996">
        <v>13</v>
      </c>
      <c r="J535" s="56"/>
      <c r="K535" s="30">
        <v>1.1000000000000001</v>
      </c>
      <c r="L535" s="999">
        <f t="shared" ref="L535" si="26">PRODUCT(C535:K535)</f>
        <v>1251.25</v>
      </c>
    </row>
    <row r="536" spans="2:12" ht="15.75">
      <c r="B536" s="734" t="s">
        <v>440</v>
      </c>
      <c r="C536" s="18"/>
      <c r="D536" s="991"/>
      <c r="E536" s="991"/>
      <c r="F536" s="994"/>
      <c r="G536" s="18"/>
      <c r="H536" s="5"/>
      <c r="I536" s="997"/>
      <c r="J536" s="56"/>
      <c r="K536" s="30">
        <v>1.1000000000000001</v>
      </c>
      <c r="L536" s="1000"/>
    </row>
    <row r="537" spans="2:12" ht="15.75">
      <c r="B537" s="734" t="s">
        <v>441</v>
      </c>
      <c r="C537" s="18"/>
      <c r="D537" s="991"/>
      <c r="E537" s="991"/>
      <c r="F537" s="994"/>
      <c r="G537" s="18"/>
      <c r="H537" s="5"/>
      <c r="I537" s="997"/>
      <c r="J537" s="56"/>
      <c r="K537" s="30">
        <v>1.1000000000000001</v>
      </c>
      <c r="L537" s="1000"/>
    </row>
    <row r="538" spans="2:12" ht="15.75">
      <c r="B538" s="734" t="s">
        <v>465</v>
      </c>
      <c r="C538" s="18"/>
      <c r="D538" s="991"/>
      <c r="E538" s="991"/>
      <c r="F538" s="994"/>
      <c r="G538" s="18"/>
      <c r="H538" s="5"/>
      <c r="I538" s="997"/>
      <c r="J538" s="56"/>
      <c r="K538" s="30">
        <v>1.1000000000000001</v>
      </c>
      <c r="L538" s="1000"/>
    </row>
    <row r="539" spans="2:12" ht="15.75">
      <c r="B539" s="734" t="s">
        <v>466</v>
      </c>
      <c r="C539" s="18"/>
      <c r="D539" s="991"/>
      <c r="E539" s="991"/>
      <c r="F539" s="994"/>
      <c r="G539" s="18"/>
      <c r="H539" s="5"/>
      <c r="I539" s="997"/>
      <c r="J539" s="56"/>
      <c r="K539" s="30">
        <v>1.1000000000000001</v>
      </c>
      <c r="L539" s="1000"/>
    </row>
    <row r="540" spans="2:12" ht="15.75">
      <c r="B540" s="734" t="s">
        <v>661</v>
      </c>
      <c r="C540" s="18"/>
      <c r="D540" s="992"/>
      <c r="E540" s="992"/>
      <c r="F540" s="995"/>
      <c r="G540" s="18"/>
      <c r="H540" s="5"/>
      <c r="I540" s="998"/>
      <c r="J540" s="56"/>
      <c r="K540" s="30">
        <v>1.1000000000000001</v>
      </c>
      <c r="L540" s="1001"/>
    </row>
    <row r="541" spans="2:12" ht="15.75">
      <c r="B541" s="708" t="s">
        <v>767</v>
      </c>
      <c r="C541" s="18"/>
      <c r="D541" s="48">
        <v>0.4</v>
      </c>
      <c r="E541" s="59">
        <v>0.8</v>
      </c>
      <c r="F541" s="45">
        <f>5.47+5.6+4.32+4.45+6.413+6.413+6.375+3.99+4.32+5.6+5.47</f>
        <v>58.420999999999999</v>
      </c>
      <c r="G541" s="18"/>
      <c r="H541" s="5"/>
      <c r="I541" s="55"/>
      <c r="J541" s="56"/>
      <c r="K541" s="30">
        <v>1.1000000000000001</v>
      </c>
      <c r="L541" s="649">
        <f>PRODUCT(C541:K541)</f>
        <v>20.564192000000006</v>
      </c>
    </row>
    <row r="542" spans="2:12" ht="15.75">
      <c r="B542" s="708" t="s">
        <v>768</v>
      </c>
      <c r="C542" s="18"/>
      <c r="D542" s="48">
        <v>0.3</v>
      </c>
      <c r="E542" s="59">
        <v>0.8</v>
      </c>
      <c r="F542" s="45">
        <v>1.92</v>
      </c>
      <c r="G542" s="18"/>
      <c r="H542" s="5"/>
      <c r="I542" s="55"/>
      <c r="J542" s="56"/>
      <c r="K542" s="30">
        <v>1.1000000000000001</v>
      </c>
      <c r="L542" s="649">
        <f t="shared" ref="L542:L561" si="27">PRODUCT(C542:K542)</f>
        <v>0.50688</v>
      </c>
    </row>
    <row r="543" spans="2:12" ht="15.75">
      <c r="B543" s="708" t="s">
        <v>769</v>
      </c>
      <c r="C543" s="18"/>
      <c r="D543" s="48">
        <v>0.4</v>
      </c>
      <c r="E543" s="59">
        <v>0.8</v>
      </c>
      <c r="F543" s="45">
        <f>5.47+5.6+4.32+4.45+4.208+4.002+4.102+3.79+4.25+5.6+5.47</f>
        <v>51.262</v>
      </c>
      <c r="G543" s="18"/>
      <c r="H543" s="5"/>
      <c r="I543" s="55"/>
      <c r="J543" s="56"/>
      <c r="K543" s="30">
        <v>1.1000000000000001</v>
      </c>
      <c r="L543" s="649">
        <f t="shared" si="27"/>
        <v>18.044224000000003</v>
      </c>
    </row>
    <row r="544" spans="2:12" ht="15.75">
      <c r="B544" s="708" t="s">
        <v>488</v>
      </c>
      <c r="C544" s="18"/>
      <c r="D544" s="48">
        <v>0.4</v>
      </c>
      <c r="E544" s="59">
        <v>0.8</v>
      </c>
      <c r="F544" s="45">
        <f>5.47+5.6+4.32+4.45+2.766+2.766+2.587+3.99+4.32+5.6+5.47</f>
        <v>47.338999999999999</v>
      </c>
      <c r="G544" s="18"/>
      <c r="H544" s="5"/>
      <c r="I544" s="55"/>
      <c r="J544" s="56"/>
      <c r="K544" s="30">
        <v>1.1000000000000001</v>
      </c>
      <c r="L544" s="649">
        <f>PRODUCT(C544:K544)</f>
        <v>16.663328000000003</v>
      </c>
    </row>
    <row r="545" spans="2:12" ht="15.75">
      <c r="B545" s="708" t="s">
        <v>491</v>
      </c>
      <c r="C545" s="18"/>
      <c r="D545" s="48">
        <v>0.3</v>
      </c>
      <c r="E545" s="59">
        <v>0.8</v>
      </c>
      <c r="F545" s="45">
        <v>2.2999999999999998</v>
      </c>
      <c r="G545" s="18"/>
      <c r="H545" s="5"/>
      <c r="I545" s="55"/>
      <c r="J545" s="56"/>
      <c r="K545" s="30">
        <v>1.1000000000000001</v>
      </c>
      <c r="L545" s="649">
        <f t="shared" si="27"/>
        <v>0.60719999999999996</v>
      </c>
    </row>
    <row r="546" spans="2:12" ht="15.75">
      <c r="B546" s="708" t="s">
        <v>489</v>
      </c>
      <c r="C546" s="18"/>
      <c r="D546" s="48">
        <v>0.3</v>
      </c>
      <c r="E546" s="59">
        <v>0.8</v>
      </c>
      <c r="F546" s="45">
        <v>2.6</v>
      </c>
      <c r="G546" s="18"/>
      <c r="H546" s="5"/>
      <c r="I546" s="55"/>
      <c r="J546" s="56"/>
      <c r="K546" s="30">
        <v>1.1000000000000001</v>
      </c>
      <c r="L546" s="649">
        <f t="shared" si="27"/>
        <v>0.68640000000000001</v>
      </c>
    </row>
    <row r="547" spans="2:12" ht="15.75">
      <c r="B547" s="708" t="s">
        <v>490</v>
      </c>
      <c r="C547" s="18"/>
      <c r="D547" s="48">
        <v>0.3</v>
      </c>
      <c r="E547" s="59">
        <v>0.8</v>
      </c>
      <c r="F547" s="45">
        <v>2.5</v>
      </c>
      <c r="G547" s="18"/>
      <c r="H547" s="5"/>
      <c r="I547" s="55"/>
      <c r="J547" s="56"/>
      <c r="K547" s="30">
        <v>1.1000000000000001</v>
      </c>
      <c r="L547" s="649">
        <f t="shared" si="27"/>
        <v>0.66</v>
      </c>
    </row>
    <row r="548" spans="2:12" ht="15.75">
      <c r="B548" s="708" t="s">
        <v>492</v>
      </c>
      <c r="C548" s="18"/>
      <c r="D548" s="48">
        <v>0.3</v>
      </c>
      <c r="E548" s="59">
        <v>0.8</v>
      </c>
      <c r="F548" s="45">
        <f>4.08*4</f>
        <v>16.32</v>
      </c>
      <c r="G548" s="18"/>
      <c r="H548" s="5"/>
      <c r="I548" s="55"/>
      <c r="J548" s="56"/>
      <c r="K548" s="30">
        <v>1.1000000000000001</v>
      </c>
      <c r="L548" s="649">
        <f t="shared" si="27"/>
        <v>4.3084800000000003</v>
      </c>
    </row>
    <row r="549" spans="2:12" ht="15.75">
      <c r="B549" s="708" t="s">
        <v>495</v>
      </c>
      <c r="C549" s="18"/>
      <c r="D549" s="48">
        <v>0.3</v>
      </c>
      <c r="E549" s="59">
        <v>0.8</v>
      </c>
      <c r="F549" s="45">
        <f>2*2</f>
        <v>4</v>
      </c>
      <c r="G549" s="18"/>
      <c r="H549" s="5"/>
      <c r="I549" s="55"/>
      <c r="J549" s="56"/>
      <c r="K549" s="30">
        <v>1.1000000000000001</v>
      </c>
      <c r="L549" s="649">
        <f t="shared" si="27"/>
        <v>1.056</v>
      </c>
    </row>
    <row r="550" spans="2:12" ht="15.75">
      <c r="B550" s="708" t="s">
        <v>493</v>
      </c>
      <c r="C550" s="18"/>
      <c r="D550" s="48">
        <v>0.3</v>
      </c>
      <c r="E550" s="59">
        <v>0.8</v>
      </c>
      <c r="F550" s="45">
        <f>+(4.53+2.4)*2</f>
        <v>13.86</v>
      </c>
      <c r="G550" s="18"/>
      <c r="H550" s="5"/>
      <c r="I550" s="55"/>
      <c r="J550" s="56"/>
      <c r="K550" s="30">
        <v>1.1000000000000001</v>
      </c>
      <c r="L550" s="649">
        <f t="shared" si="27"/>
        <v>3.6590399999999996</v>
      </c>
    </row>
    <row r="551" spans="2:12" ht="15.75">
      <c r="B551" s="708" t="s">
        <v>494</v>
      </c>
      <c r="C551" s="18"/>
      <c r="D551" s="48">
        <v>0.3</v>
      </c>
      <c r="E551" s="59">
        <v>0.8</v>
      </c>
      <c r="F551" s="45">
        <f>2.04+2</f>
        <v>4.04</v>
      </c>
      <c r="G551" s="18"/>
      <c r="H551" s="5"/>
      <c r="I551" s="55"/>
      <c r="J551" s="56"/>
      <c r="K551" s="30">
        <v>1.1000000000000001</v>
      </c>
      <c r="L551" s="649">
        <f t="shared" si="27"/>
        <v>1.0665600000000002</v>
      </c>
    </row>
    <row r="552" spans="2:12" ht="15.75">
      <c r="B552" s="708" t="s">
        <v>770</v>
      </c>
      <c r="C552" s="18"/>
      <c r="D552" s="48">
        <v>0.3</v>
      </c>
      <c r="E552" s="59">
        <v>0.8</v>
      </c>
      <c r="F552" s="45">
        <f>4+8*1</f>
        <v>12</v>
      </c>
      <c r="G552" s="18"/>
      <c r="H552" s="5"/>
      <c r="I552" s="55"/>
      <c r="J552" s="56"/>
      <c r="K552" s="30">
        <v>1.1000000000000001</v>
      </c>
      <c r="L552" s="649">
        <f t="shared" si="27"/>
        <v>3.1680000000000001</v>
      </c>
    </row>
    <row r="553" spans="2:12" ht="15.75">
      <c r="B553" s="708" t="s">
        <v>771</v>
      </c>
      <c r="C553" s="18"/>
      <c r="D553" s="48">
        <v>0.3</v>
      </c>
      <c r="E553" s="59">
        <v>0.8</v>
      </c>
      <c r="F553" s="45">
        <f>+(4.08+2)*3</f>
        <v>18.240000000000002</v>
      </c>
      <c r="G553" s="18"/>
      <c r="H553" s="5"/>
      <c r="I553" s="55"/>
      <c r="J553" s="56"/>
      <c r="K553" s="30">
        <v>1.1000000000000001</v>
      </c>
      <c r="L553" s="649">
        <f t="shared" si="27"/>
        <v>4.815360000000001</v>
      </c>
    </row>
    <row r="554" spans="2:12" ht="15.75">
      <c r="B554" s="708" t="s">
        <v>772</v>
      </c>
      <c r="C554" s="18"/>
      <c r="D554" s="48">
        <v>0.3</v>
      </c>
      <c r="E554" s="59">
        <v>0.8</v>
      </c>
      <c r="F554" s="45">
        <f>+(4.08+2)*2</f>
        <v>12.16</v>
      </c>
      <c r="G554" s="18"/>
      <c r="H554" s="5"/>
      <c r="I554" s="55"/>
      <c r="J554" s="56"/>
      <c r="K554" s="30">
        <v>1.1000000000000001</v>
      </c>
      <c r="L554" s="649">
        <f t="shared" si="27"/>
        <v>3.2102400000000002</v>
      </c>
    </row>
    <row r="555" spans="2:12" ht="15.75">
      <c r="B555" s="708" t="s">
        <v>773</v>
      </c>
      <c r="C555" s="18"/>
      <c r="D555" s="48">
        <v>0.3</v>
      </c>
      <c r="E555" s="59">
        <v>0.8</v>
      </c>
      <c r="F555" s="45">
        <v>6.08</v>
      </c>
      <c r="G555" s="18"/>
      <c r="H555" s="5"/>
      <c r="I555" s="55"/>
      <c r="J555" s="56"/>
      <c r="K555" s="30">
        <v>1.1000000000000001</v>
      </c>
      <c r="L555" s="649">
        <f t="shared" si="27"/>
        <v>1.6051200000000001</v>
      </c>
    </row>
    <row r="556" spans="2:12" ht="15.75">
      <c r="B556" s="708" t="s">
        <v>774</v>
      </c>
      <c r="C556" s="18"/>
      <c r="D556" s="48">
        <v>0.3</v>
      </c>
      <c r="E556" s="59">
        <v>0.8</v>
      </c>
      <c r="F556" s="45">
        <v>6.08</v>
      </c>
      <c r="G556" s="18"/>
      <c r="H556" s="5"/>
      <c r="I556" s="55"/>
      <c r="J556" s="56"/>
      <c r="K556" s="30">
        <v>1.1000000000000001</v>
      </c>
      <c r="L556" s="649">
        <f t="shared" si="27"/>
        <v>1.6051200000000001</v>
      </c>
    </row>
    <row r="557" spans="2:12" ht="15.75">
      <c r="B557" s="708" t="s">
        <v>775</v>
      </c>
      <c r="C557" s="18"/>
      <c r="D557" s="48">
        <v>0.3</v>
      </c>
      <c r="E557" s="59">
        <v>0.8</v>
      </c>
      <c r="F557" s="45">
        <v>4.08</v>
      </c>
      <c r="G557" s="18"/>
      <c r="H557" s="5"/>
      <c r="I557" s="55"/>
      <c r="J557" s="56"/>
      <c r="K557" s="30">
        <v>1.1000000000000001</v>
      </c>
      <c r="L557" s="649">
        <f t="shared" si="27"/>
        <v>1.0771200000000001</v>
      </c>
    </row>
    <row r="558" spans="2:12" ht="15.75">
      <c r="B558" s="708" t="s">
        <v>776</v>
      </c>
      <c r="C558" s="18"/>
      <c r="D558" s="48">
        <v>0.3</v>
      </c>
      <c r="E558" s="59">
        <v>0.8</v>
      </c>
      <c r="F558" s="45">
        <v>4.04</v>
      </c>
      <c r="G558" s="18"/>
      <c r="H558" s="5"/>
      <c r="I558" s="55"/>
      <c r="J558" s="56"/>
      <c r="K558" s="30">
        <v>1.1000000000000001</v>
      </c>
      <c r="L558" s="649">
        <f t="shared" si="27"/>
        <v>1.0665600000000002</v>
      </c>
    </row>
    <row r="559" spans="2:12" ht="15.75">
      <c r="B559" s="708" t="s">
        <v>777</v>
      </c>
      <c r="C559" s="18"/>
      <c r="D559" s="48">
        <v>0.3</v>
      </c>
      <c r="E559" s="59">
        <v>0.8</v>
      </c>
      <c r="F559" s="45">
        <v>2</v>
      </c>
      <c r="G559" s="18"/>
      <c r="H559" s="5"/>
      <c r="I559" s="55"/>
      <c r="J559" s="56"/>
      <c r="K559" s="30">
        <v>1.1000000000000001</v>
      </c>
      <c r="L559" s="649">
        <f t="shared" si="27"/>
        <v>0.52800000000000002</v>
      </c>
    </row>
    <row r="560" spans="2:12" ht="15.75">
      <c r="B560" s="708" t="s">
        <v>778</v>
      </c>
      <c r="C560" s="18"/>
      <c r="D560" s="48">
        <v>0.3</v>
      </c>
      <c r="E560" s="59">
        <v>0.8</v>
      </c>
      <c r="F560" s="45">
        <v>4.0780000000000003</v>
      </c>
      <c r="G560" s="18"/>
      <c r="H560" s="5"/>
      <c r="I560" s="55"/>
      <c r="J560" s="56"/>
      <c r="K560" s="30">
        <v>1.1000000000000001</v>
      </c>
      <c r="L560" s="649">
        <f>PRODUCT(C560:K560)</f>
        <v>1.0765920000000002</v>
      </c>
    </row>
    <row r="561" spans="2:14" ht="15.75">
      <c r="B561" s="708" t="s">
        <v>779</v>
      </c>
      <c r="C561" s="18"/>
      <c r="D561" s="48">
        <v>0.3</v>
      </c>
      <c r="E561" s="59">
        <v>0.8</v>
      </c>
      <c r="F561" s="45">
        <v>2.0310000000000001</v>
      </c>
      <c r="G561" s="18"/>
      <c r="H561" s="5"/>
      <c r="I561" s="55"/>
      <c r="J561" s="56"/>
      <c r="K561" s="30">
        <v>1.1000000000000001</v>
      </c>
      <c r="L561" s="649">
        <f t="shared" si="27"/>
        <v>0.5361840000000001</v>
      </c>
    </row>
    <row r="562" spans="2:14" ht="15.75">
      <c r="B562" s="734"/>
      <c r="C562" s="18"/>
      <c r="D562" s="48"/>
      <c r="E562" s="59"/>
      <c r="F562" s="45"/>
      <c r="G562" s="18"/>
      <c r="H562" s="5"/>
      <c r="I562" s="55"/>
      <c r="J562" s="56"/>
      <c r="K562" s="5"/>
      <c r="L562" s="649"/>
    </row>
    <row r="563" spans="2:14" ht="15.75">
      <c r="B563" s="715" t="s">
        <v>594</v>
      </c>
      <c r="C563" s="18"/>
      <c r="D563" s="48"/>
      <c r="E563" s="59"/>
      <c r="F563" s="45"/>
      <c r="G563" s="18"/>
      <c r="H563" s="5"/>
      <c r="I563" s="55"/>
      <c r="J563" s="56"/>
      <c r="K563" s="5"/>
      <c r="L563" s="649"/>
    </row>
    <row r="564" spans="2:14" ht="15.75">
      <c r="B564" s="734" t="s">
        <v>702</v>
      </c>
      <c r="C564" s="18"/>
      <c r="D564" s="48">
        <v>2.4</v>
      </c>
      <c r="E564" s="59">
        <v>2.5</v>
      </c>
      <c r="F564" s="45">
        <v>6.3</v>
      </c>
      <c r="G564" s="18"/>
      <c r="H564" s="5"/>
      <c r="I564" s="55">
        <v>2</v>
      </c>
      <c r="J564" s="56">
        <v>2</v>
      </c>
      <c r="K564" s="30">
        <v>1.1000000000000001</v>
      </c>
      <c r="L564" s="649">
        <f>PRODUCT(C564:K564)</f>
        <v>166.32</v>
      </c>
    </row>
    <row r="565" spans="2:14" ht="15.75">
      <c r="B565" s="734" t="s">
        <v>703</v>
      </c>
      <c r="C565" s="18"/>
      <c r="D565" s="48">
        <v>3.1</v>
      </c>
      <c r="E565" s="59">
        <v>2.5</v>
      </c>
      <c r="F565" s="45">
        <v>6.7</v>
      </c>
      <c r="G565" s="18"/>
      <c r="H565" s="5"/>
      <c r="I565" s="55">
        <v>2</v>
      </c>
      <c r="J565" s="56">
        <v>1</v>
      </c>
      <c r="K565" s="30">
        <v>1.1000000000000001</v>
      </c>
      <c r="L565" s="649">
        <f>PRODUCT(C565:K565)</f>
        <v>114.23500000000001</v>
      </c>
    </row>
    <row r="566" spans="2:14" ht="15.75">
      <c r="B566" s="734" t="s">
        <v>704</v>
      </c>
      <c r="C566" s="18"/>
      <c r="D566" s="48">
        <v>3.25</v>
      </c>
      <c r="E566" s="59">
        <v>2.5</v>
      </c>
      <c r="F566" s="45">
        <v>7.13</v>
      </c>
      <c r="G566" s="18"/>
      <c r="H566" s="5"/>
      <c r="I566" s="55">
        <v>2</v>
      </c>
      <c r="J566" s="56">
        <v>1</v>
      </c>
      <c r="K566" s="30">
        <v>1.1000000000000001</v>
      </c>
      <c r="L566" s="649">
        <f>PRODUCT(C566:K566)</f>
        <v>127.44875</v>
      </c>
    </row>
    <row r="567" spans="2:14" ht="15.75">
      <c r="B567" s="708" t="s">
        <v>780</v>
      </c>
      <c r="C567" s="18"/>
      <c r="D567" s="48">
        <v>0.3</v>
      </c>
      <c r="E567" s="59">
        <v>0.8</v>
      </c>
      <c r="F567" s="45">
        <f>+(6.78+4.26+7.04)*2</f>
        <v>36.159999999999997</v>
      </c>
      <c r="G567" s="18"/>
      <c r="H567" s="5"/>
      <c r="I567" s="55">
        <v>2</v>
      </c>
      <c r="J567" s="56">
        <v>2</v>
      </c>
      <c r="K567" s="30">
        <v>1.1000000000000001</v>
      </c>
      <c r="L567" s="649">
        <f t="shared" ref="L567:L568" si="28">PRODUCT(C567:K567)</f>
        <v>38.184959999999997</v>
      </c>
    </row>
    <row r="568" spans="2:14" ht="15.75">
      <c r="B568" s="708" t="s">
        <v>781</v>
      </c>
      <c r="C568" s="18"/>
      <c r="D568" s="48">
        <v>0.3</v>
      </c>
      <c r="E568" s="59">
        <v>0.8</v>
      </c>
      <c r="F568" s="45">
        <f>3.68*4</f>
        <v>14.72</v>
      </c>
      <c r="G568" s="18"/>
      <c r="H568" s="5"/>
      <c r="I568" s="55">
        <v>2</v>
      </c>
      <c r="J568" s="56">
        <v>2</v>
      </c>
      <c r="K568" s="30">
        <v>1.1000000000000001</v>
      </c>
      <c r="L568" s="649">
        <f t="shared" si="28"/>
        <v>15.544320000000001</v>
      </c>
    </row>
    <row r="569" spans="2:14" ht="15.75">
      <c r="B569" s="734"/>
      <c r="C569" s="18"/>
      <c r="D569" s="48"/>
      <c r="E569" s="59"/>
      <c r="F569" s="45"/>
      <c r="G569" s="18"/>
      <c r="H569" s="5"/>
      <c r="I569" s="55"/>
      <c r="J569" s="56"/>
      <c r="K569" s="5"/>
      <c r="L569" s="649"/>
    </row>
    <row r="570" spans="2:14" ht="15.75">
      <c r="B570" s="734"/>
      <c r="C570" s="19"/>
      <c r="D570" s="19"/>
      <c r="E570" s="59"/>
      <c r="F570" s="47"/>
      <c r="G570" s="57"/>
      <c r="H570" s="21"/>
      <c r="I570" s="55"/>
      <c r="J570" s="56"/>
      <c r="K570" s="5"/>
      <c r="L570" s="649"/>
    </row>
    <row r="571" spans="2:14" ht="15">
      <c r="B571" s="734" t="s">
        <v>481</v>
      </c>
      <c r="C571" s="19"/>
      <c r="D571" s="19">
        <v>7.5</v>
      </c>
      <c r="E571" s="210">
        <v>2</v>
      </c>
      <c r="F571" s="47">
        <v>13.45</v>
      </c>
      <c r="G571" s="57"/>
      <c r="H571" s="21"/>
      <c r="I571" s="55"/>
      <c r="J571" s="56"/>
      <c r="K571" s="30">
        <v>1.1000000000000001</v>
      </c>
      <c r="L571" s="649">
        <f>PRODUCT(C571:K571)</f>
        <v>221.92500000000001</v>
      </c>
      <c r="N571" s="213"/>
    </row>
    <row r="572" spans="2:14" ht="15">
      <c r="B572" s="734" t="s">
        <v>1011</v>
      </c>
      <c r="C572" s="19"/>
      <c r="D572" s="19">
        <v>0.5</v>
      </c>
      <c r="E572" s="210">
        <v>0.8</v>
      </c>
      <c r="F572" s="47">
        <v>50</v>
      </c>
      <c r="G572" s="57"/>
      <c r="H572" s="21"/>
      <c r="I572" s="55"/>
      <c r="J572" s="56">
        <v>2</v>
      </c>
      <c r="K572" s="30">
        <v>1.1000000000000001</v>
      </c>
      <c r="L572" s="649">
        <f>PRODUCT(C572:K572)</f>
        <v>44</v>
      </c>
    </row>
    <row r="573" spans="2:14" ht="15">
      <c r="B573" s="734" t="s">
        <v>933</v>
      </c>
      <c r="C573" s="48">
        <f>(1.95+0.8+4)*1.25</f>
        <v>8.4375</v>
      </c>
      <c r="D573" s="137"/>
      <c r="E573" s="137"/>
      <c r="F573" s="45">
        <v>40</v>
      </c>
      <c r="G573" s="39"/>
      <c r="H573" s="39"/>
      <c r="I573" s="39"/>
      <c r="J573" s="56"/>
      <c r="K573" s="30">
        <v>1.1000000000000001</v>
      </c>
      <c r="L573" s="649">
        <f>PRODUCT(C573:K573)</f>
        <v>371.25000000000006</v>
      </c>
    </row>
    <row r="574" spans="2:14" ht="16.5">
      <c r="B574" s="655"/>
      <c r="C574" s="48">
        <f>1.2*0.4</f>
        <v>0.48</v>
      </c>
      <c r="D574" s="20"/>
      <c r="E574" s="20"/>
      <c r="F574" s="45">
        <v>40</v>
      </c>
      <c r="G574" s="20"/>
      <c r="H574" s="21"/>
      <c r="I574" s="41"/>
      <c r="J574" s="46"/>
      <c r="K574" s="30">
        <v>1.1000000000000001</v>
      </c>
      <c r="L574" s="649">
        <f>PRODUCT(C574:K574)</f>
        <v>21.12</v>
      </c>
    </row>
    <row r="575" spans="2:14" ht="16.5">
      <c r="B575" s="731" t="s">
        <v>934</v>
      </c>
      <c r="C575" s="19"/>
      <c r="D575" s="20">
        <v>0.3</v>
      </c>
      <c r="E575" s="20">
        <v>0.3</v>
      </c>
      <c r="F575" s="45">
        <v>171</v>
      </c>
      <c r="G575" s="20"/>
      <c r="H575" s="21"/>
      <c r="I575" s="41"/>
      <c r="J575" s="46"/>
      <c r="K575" s="30">
        <v>1.1000000000000001</v>
      </c>
      <c r="L575" s="649">
        <f>PRODUCT(C575:K575)</f>
        <v>16.928999999999998</v>
      </c>
    </row>
    <row r="576" spans="2:14" ht="16.5">
      <c r="B576" s="731"/>
      <c r="C576" s="19"/>
      <c r="D576" s="20"/>
      <c r="E576" s="20"/>
      <c r="F576" s="45"/>
      <c r="G576" s="20"/>
      <c r="H576" s="21"/>
      <c r="I576" s="41"/>
      <c r="J576" s="46"/>
      <c r="K576" s="17"/>
      <c r="L576" s="649"/>
    </row>
    <row r="577" spans="2:12">
      <c r="B577" s="737" t="s">
        <v>980</v>
      </c>
      <c r="C577" s="39"/>
      <c r="D577" s="39"/>
      <c r="E577" s="39"/>
      <c r="F577" s="39"/>
      <c r="G577" s="39"/>
      <c r="H577" s="39"/>
      <c r="I577" s="39"/>
      <c r="J577" s="39"/>
      <c r="K577" s="39"/>
      <c r="L577" s="738"/>
    </row>
    <row r="578" spans="2:12" ht="15">
      <c r="B578" s="662" t="s">
        <v>599</v>
      </c>
      <c r="C578" s="269"/>
      <c r="D578" s="19">
        <v>1</v>
      </c>
      <c r="E578" s="19">
        <v>1.8</v>
      </c>
      <c r="F578" s="19">
        <v>1</v>
      </c>
      <c r="G578" s="270"/>
      <c r="H578" s="271"/>
      <c r="I578" s="56">
        <v>4</v>
      </c>
      <c r="J578" s="56">
        <v>4</v>
      </c>
      <c r="K578" s="30">
        <v>1.1000000000000001</v>
      </c>
      <c r="L578" s="649">
        <f>D578*E578*F578*I578*J578</f>
        <v>28.8</v>
      </c>
    </row>
    <row r="579" spans="2:12" ht="15">
      <c r="B579" s="662" t="s">
        <v>666</v>
      </c>
      <c r="C579" s="269"/>
      <c r="D579" s="19">
        <v>0.25</v>
      </c>
      <c r="E579" s="19">
        <v>0.8</v>
      </c>
      <c r="F579" s="19">
        <v>4.5</v>
      </c>
      <c r="G579" s="270"/>
      <c r="H579" s="271"/>
      <c r="I579" s="56">
        <v>2</v>
      </c>
      <c r="J579" s="56">
        <v>4</v>
      </c>
      <c r="K579" s="30">
        <v>1.1000000000000001</v>
      </c>
      <c r="L579" s="649">
        <f>D579*E579*F579*I579*J579</f>
        <v>7.2</v>
      </c>
    </row>
    <row r="580" spans="2:12" ht="15">
      <c r="B580" s="662" t="s">
        <v>667</v>
      </c>
      <c r="C580" s="269"/>
      <c r="D580" s="19">
        <v>0.25</v>
      </c>
      <c r="E580" s="19">
        <v>0.8</v>
      </c>
      <c r="F580" s="19">
        <v>3.5</v>
      </c>
      <c r="G580" s="270"/>
      <c r="H580" s="271"/>
      <c r="I580" s="56">
        <v>2</v>
      </c>
      <c r="J580" s="56">
        <v>4</v>
      </c>
      <c r="K580" s="30">
        <v>1.1000000000000001</v>
      </c>
      <c r="L580" s="649">
        <f t="shared" ref="L580" si="29">D580*E580*F580*I580*J580</f>
        <v>5.6000000000000005</v>
      </c>
    </row>
    <row r="581" spans="2:12" ht="16.5">
      <c r="B581" s="662" t="s">
        <v>981</v>
      </c>
      <c r="C581" s="270">
        <v>168</v>
      </c>
      <c r="D581" s="42"/>
      <c r="E581" s="42"/>
      <c r="F581" s="43"/>
      <c r="G581" s="270"/>
      <c r="H581" s="271"/>
      <c r="I581" s="35">
        <v>1</v>
      </c>
      <c r="J581" s="22">
        <v>4</v>
      </c>
      <c r="K581" s="30">
        <v>1.1000000000000001</v>
      </c>
      <c r="L581" s="649">
        <f>+SUM(C581:H581)*(I581*3)</f>
        <v>504</v>
      </c>
    </row>
    <row r="582" spans="2:12" ht="16.5">
      <c r="B582" s="662"/>
      <c r="C582" s="270"/>
      <c r="D582" s="42"/>
      <c r="E582" s="42"/>
      <c r="F582" s="43"/>
      <c r="G582" s="270"/>
      <c r="H582" s="271"/>
      <c r="I582" s="35"/>
      <c r="J582" s="22"/>
      <c r="K582" s="17"/>
      <c r="L582" s="719"/>
    </row>
    <row r="583" spans="2:12" ht="15">
      <c r="B583" s="662"/>
      <c r="C583" s="269"/>
      <c r="D583" s="19"/>
      <c r="E583" s="19"/>
      <c r="F583" s="19"/>
      <c r="G583" s="270"/>
      <c r="H583" s="271"/>
      <c r="I583" s="56"/>
      <c r="J583" s="56"/>
      <c r="K583" s="17"/>
      <c r="L583" s="649"/>
    </row>
    <row r="584" spans="2:12">
      <c r="B584" s="651"/>
      <c r="L584" s="652"/>
    </row>
    <row r="585" spans="2:12" ht="15.75">
      <c r="B585" s="638" t="s">
        <v>398</v>
      </c>
      <c r="C585" s="8">
        <v>3</v>
      </c>
      <c r="D585" s="1008" t="s">
        <v>1028</v>
      </c>
      <c r="E585" s="1009"/>
      <c r="F585" s="1009"/>
      <c r="G585" s="1009"/>
      <c r="H585" s="1009"/>
      <c r="I585" s="1009"/>
      <c r="J585" s="1009"/>
      <c r="K585" s="1009"/>
      <c r="L585" s="1010"/>
    </row>
    <row r="586" spans="2:12" ht="15">
      <c r="B586" s="1005"/>
      <c r="C586" s="1006"/>
      <c r="D586" s="1006"/>
      <c r="E586" s="1006"/>
      <c r="F586" s="1006"/>
      <c r="G586" s="1006"/>
      <c r="H586" s="1006"/>
      <c r="I586" s="1006"/>
      <c r="J586" s="1006"/>
      <c r="K586" s="1006"/>
      <c r="L586" s="1007"/>
    </row>
    <row r="587" spans="2:12" ht="31.5">
      <c r="B587" s="733" t="s">
        <v>399</v>
      </c>
      <c r="C587" s="11">
        <f>+'PROPUESTA ECONOMICA(Proponente)'!C42</f>
        <v>3.2</v>
      </c>
      <c r="D587" s="12" t="str">
        <f>+VLOOKUP('MEMORIAS DE CANTIDADES'!C587,'PROPUESTA ECONOMICA(Proponente)'!$C$21:$H$310,5,FALSE)</f>
        <v>Concreto ciclópeo 3000 psi, relación 60%C/40%P.  (Incluye suministro y colocación).</v>
      </c>
      <c r="E587" s="13"/>
      <c r="F587" s="12"/>
      <c r="G587" s="12"/>
      <c r="H587" s="12"/>
      <c r="I587" s="11" t="s">
        <v>400</v>
      </c>
      <c r="J587" s="12" t="str">
        <f>+VLOOKUP('MEMORIAS DE CANTIDADES'!C587,'PROPUESTA ECONOMICA(Proponente)'!$C$21:$H$310,6,FALSE)</f>
        <v>m3</v>
      </c>
      <c r="K587" s="11" t="s">
        <v>401</v>
      </c>
      <c r="L587" s="643">
        <f>SUM(L590:L621)</f>
        <v>805.53250000000003</v>
      </c>
    </row>
    <row r="588" spans="2:12" ht="15">
      <c r="B588" s="644"/>
      <c r="C588" s="16"/>
      <c r="D588" s="15"/>
      <c r="E588" s="15"/>
      <c r="F588" s="15"/>
      <c r="G588" s="15"/>
      <c r="H588" s="15"/>
      <c r="I588" s="15"/>
      <c r="J588" s="15"/>
      <c r="K588" s="17"/>
      <c r="L588" s="645"/>
    </row>
    <row r="589" spans="2:12" ht="47.25">
      <c r="B589" s="646" t="s">
        <v>402</v>
      </c>
      <c r="C589" s="18" t="s">
        <v>403</v>
      </c>
      <c r="D589" s="18" t="s">
        <v>404</v>
      </c>
      <c r="E589" s="18" t="s">
        <v>405</v>
      </c>
      <c r="F589" s="18" t="s">
        <v>406</v>
      </c>
      <c r="G589" s="18" t="s">
        <v>407</v>
      </c>
      <c r="H589" s="5" t="s">
        <v>408</v>
      </c>
      <c r="I589" s="18" t="s">
        <v>409</v>
      </c>
      <c r="J589" s="5" t="s">
        <v>410</v>
      </c>
      <c r="K589" s="5" t="s">
        <v>411</v>
      </c>
      <c r="L589" s="647" t="s">
        <v>412</v>
      </c>
    </row>
    <row r="590" spans="2:12" ht="16.5">
      <c r="B590" s="658" t="s">
        <v>438</v>
      </c>
      <c r="C590" s="18"/>
      <c r="D590" s="18"/>
      <c r="E590" s="18"/>
      <c r="G590" s="18"/>
      <c r="H590" s="5"/>
      <c r="I590" s="41"/>
      <c r="J590" s="46"/>
      <c r="K590" s="5"/>
      <c r="L590" s="649"/>
    </row>
    <row r="591" spans="2:12" ht="16.5">
      <c r="B591" s="708" t="s">
        <v>717</v>
      </c>
      <c r="C591" s="48"/>
      <c r="D591" s="48">
        <v>4.4000000000000004</v>
      </c>
      <c r="E591" s="48">
        <v>0.5</v>
      </c>
      <c r="F591" s="45">
        <v>7.5</v>
      </c>
      <c r="G591" s="48"/>
      <c r="H591" s="30"/>
      <c r="I591" s="41">
        <v>3</v>
      </c>
      <c r="J591" s="41">
        <v>2</v>
      </c>
      <c r="K591" s="30"/>
      <c r="L591" s="649">
        <f>PRODUCT(C591:K591)</f>
        <v>99</v>
      </c>
    </row>
    <row r="592" spans="2:12" ht="16.5">
      <c r="B592" s="708" t="s">
        <v>718</v>
      </c>
      <c r="C592" s="48"/>
      <c r="D592" s="48">
        <v>2.5</v>
      </c>
      <c r="E592" s="48">
        <v>0.5</v>
      </c>
      <c r="F592" s="45">
        <v>6.65</v>
      </c>
      <c r="G592" s="48"/>
      <c r="H592" s="30"/>
      <c r="I592" s="41">
        <v>2</v>
      </c>
      <c r="J592" s="41">
        <v>2</v>
      </c>
      <c r="K592" s="30"/>
      <c r="L592" s="649">
        <f t="shared" ref="L592" si="30">PRODUCT(C592:K592)</f>
        <v>33.25</v>
      </c>
    </row>
    <row r="593" spans="2:12" ht="16.5">
      <c r="B593" s="708"/>
      <c r="C593" s="48"/>
      <c r="D593" s="48"/>
      <c r="E593" s="48"/>
      <c r="F593" s="45"/>
      <c r="G593" s="48"/>
      <c r="H593" s="30"/>
      <c r="I593" s="41"/>
      <c r="J593" s="46"/>
      <c r="K593" s="30"/>
      <c r="L593" s="649"/>
    </row>
    <row r="594" spans="2:12" ht="15.75">
      <c r="B594" s="739" t="s">
        <v>754</v>
      </c>
      <c r="C594" s="18"/>
      <c r="D594" s="18"/>
      <c r="E594" s="59"/>
      <c r="F594" s="45"/>
      <c r="G594" s="18"/>
      <c r="H594" s="5"/>
      <c r="I594" s="55"/>
      <c r="J594" s="56"/>
      <c r="K594" s="5"/>
      <c r="L594" s="649"/>
    </row>
    <row r="595" spans="2:12" ht="15.75">
      <c r="B595" s="734" t="s">
        <v>599</v>
      </c>
      <c r="C595" s="18"/>
      <c r="D595" s="990">
        <v>10</v>
      </c>
      <c r="E595" s="990">
        <v>0.5</v>
      </c>
      <c r="F595" s="990">
        <v>3.5</v>
      </c>
      <c r="G595" s="18"/>
      <c r="H595" s="5"/>
      <c r="I595" s="990">
        <v>18</v>
      </c>
      <c r="J595" s="56"/>
      <c r="K595" s="5"/>
      <c r="L595" s="1031">
        <f>PRODUCT(C595:K595)</f>
        <v>315</v>
      </c>
    </row>
    <row r="596" spans="2:12" ht="15.75">
      <c r="B596" s="734" t="s">
        <v>600</v>
      </c>
      <c r="C596" s="18"/>
      <c r="D596" s="991"/>
      <c r="E596" s="991"/>
      <c r="F596" s="991"/>
      <c r="G596" s="18"/>
      <c r="H596" s="5"/>
      <c r="I596" s="991"/>
      <c r="J596" s="56"/>
      <c r="K596" s="5"/>
      <c r="L596" s="1032">
        <f>PRODUCT(C596:K596)</f>
        <v>0</v>
      </c>
    </row>
    <row r="597" spans="2:12" ht="15.75">
      <c r="B597" s="734" t="s">
        <v>601</v>
      </c>
      <c r="C597" s="18"/>
      <c r="D597" s="992"/>
      <c r="E597" s="992"/>
      <c r="F597" s="992"/>
      <c r="G597" s="18"/>
      <c r="H597" s="5"/>
      <c r="I597" s="992"/>
      <c r="J597" s="56"/>
      <c r="K597" s="5"/>
      <c r="L597" s="1033">
        <f>PRODUCT(C597:K597)</f>
        <v>0</v>
      </c>
    </row>
    <row r="598" spans="2:12" ht="15.75">
      <c r="B598" s="734"/>
      <c r="C598" s="18"/>
      <c r="D598" s="18"/>
      <c r="E598" s="59"/>
      <c r="F598" s="45"/>
      <c r="G598" s="18"/>
      <c r="H598" s="5"/>
      <c r="I598" s="55"/>
      <c r="J598" s="56"/>
      <c r="K598" s="5"/>
      <c r="L598" s="649"/>
    </row>
    <row r="599" spans="2:12" ht="15.75">
      <c r="B599" s="715" t="s">
        <v>659</v>
      </c>
      <c r="C599" s="18"/>
      <c r="D599" s="18"/>
      <c r="E599" s="59"/>
      <c r="F599" s="45"/>
      <c r="G599" s="18"/>
      <c r="H599" s="5"/>
      <c r="I599" s="55"/>
      <c r="J599" s="56"/>
      <c r="K599" s="5"/>
      <c r="L599" s="649"/>
    </row>
    <row r="600" spans="2:12" ht="15.75">
      <c r="B600" s="734" t="s">
        <v>660</v>
      </c>
      <c r="C600" s="18"/>
      <c r="D600" s="990">
        <v>10</v>
      </c>
      <c r="E600" s="990">
        <v>0.5</v>
      </c>
      <c r="F600" s="993">
        <v>3.5</v>
      </c>
      <c r="G600" s="18"/>
      <c r="H600" s="5"/>
      <c r="I600" s="996">
        <v>13</v>
      </c>
      <c r="J600" s="56"/>
      <c r="K600" s="5"/>
      <c r="L600" s="999">
        <f t="shared" ref="L600" si="31">PRODUCT(C600:K600)</f>
        <v>227.5</v>
      </c>
    </row>
    <row r="601" spans="2:12" ht="15.75">
      <c r="B601" s="734" t="s">
        <v>440</v>
      </c>
      <c r="C601" s="18"/>
      <c r="D601" s="991"/>
      <c r="E601" s="991"/>
      <c r="F601" s="994"/>
      <c r="G601" s="18"/>
      <c r="H601" s="5"/>
      <c r="I601" s="997"/>
      <c r="J601" s="56"/>
      <c r="K601" s="5"/>
      <c r="L601" s="1000"/>
    </row>
    <row r="602" spans="2:12" ht="15.75">
      <c r="B602" s="734" t="s">
        <v>441</v>
      </c>
      <c r="C602" s="18"/>
      <c r="D602" s="991"/>
      <c r="E602" s="991"/>
      <c r="F602" s="994"/>
      <c r="G602" s="18"/>
      <c r="H602" s="5"/>
      <c r="I602" s="997"/>
      <c r="J602" s="56"/>
      <c r="K602" s="5"/>
      <c r="L602" s="1000"/>
    </row>
    <row r="603" spans="2:12" ht="15.75">
      <c r="B603" s="734" t="s">
        <v>465</v>
      </c>
      <c r="C603" s="18"/>
      <c r="D603" s="991"/>
      <c r="E603" s="991"/>
      <c r="F603" s="994"/>
      <c r="G603" s="18"/>
      <c r="H603" s="5"/>
      <c r="I603" s="997"/>
      <c r="J603" s="56"/>
      <c r="K603" s="5"/>
      <c r="L603" s="1000"/>
    </row>
    <row r="604" spans="2:12" ht="15.75">
      <c r="B604" s="734" t="s">
        <v>466</v>
      </c>
      <c r="C604" s="18"/>
      <c r="D604" s="991"/>
      <c r="E604" s="991"/>
      <c r="F604" s="994"/>
      <c r="G604" s="18"/>
      <c r="H604" s="5"/>
      <c r="I604" s="997"/>
      <c r="J604" s="56"/>
      <c r="K604" s="5"/>
      <c r="L604" s="1000"/>
    </row>
    <row r="605" spans="2:12" ht="15.75">
      <c r="B605" s="734" t="s">
        <v>661</v>
      </c>
      <c r="C605" s="18"/>
      <c r="D605" s="992"/>
      <c r="E605" s="992"/>
      <c r="F605" s="995"/>
      <c r="G605" s="18"/>
      <c r="H605" s="5"/>
      <c r="I605" s="998"/>
      <c r="J605" s="56"/>
      <c r="K605" s="5"/>
      <c r="L605" s="1001"/>
    </row>
    <row r="606" spans="2:12" ht="15.75">
      <c r="B606" s="734"/>
      <c r="C606" s="18"/>
      <c r="D606" s="48"/>
      <c r="E606" s="59"/>
      <c r="F606" s="45"/>
      <c r="G606" s="18"/>
      <c r="H606" s="5"/>
      <c r="I606" s="55"/>
      <c r="J606" s="56"/>
      <c r="K606" s="5"/>
      <c r="L606" s="649"/>
    </row>
    <row r="607" spans="2:12" ht="15.75">
      <c r="B607" s="715" t="s">
        <v>594</v>
      </c>
      <c r="C607" s="18"/>
      <c r="D607" s="48"/>
      <c r="E607" s="59"/>
      <c r="F607" s="45"/>
      <c r="G607" s="18"/>
      <c r="H607" s="5"/>
      <c r="I607" s="55"/>
      <c r="J607" s="56"/>
      <c r="K607" s="5"/>
      <c r="L607" s="649"/>
    </row>
    <row r="608" spans="2:12" ht="15.75">
      <c r="B608" s="734" t="s">
        <v>702</v>
      </c>
      <c r="C608" s="18"/>
      <c r="D608" s="48">
        <v>2.4</v>
      </c>
      <c r="E608" s="59">
        <v>0.5</v>
      </c>
      <c r="F608" s="45">
        <v>6.3</v>
      </c>
      <c r="G608" s="18"/>
      <c r="H608" s="5"/>
      <c r="I608" s="55">
        <v>2</v>
      </c>
      <c r="J608" s="56">
        <v>2</v>
      </c>
      <c r="K608" s="5"/>
      <c r="L608" s="649">
        <f t="shared" ref="L608" si="32">PRODUCT(C608:K608)</f>
        <v>30.24</v>
      </c>
    </row>
    <row r="609" spans="2:12" ht="15.75">
      <c r="B609" s="734" t="s">
        <v>1012</v>
      </c>
      <c r="C609" s="18"/>
      <c r="D609" s="48">
        <v>3.1</v>
      </c>
      <c r="E609" s="59">
        <v>0.5</v>
      </c>
      <c r="F609" s="45">
        <v>6.7</v>
      </c>
      <c r="G609" s="18"/>
      <c r="H609" s="5"/>
      <c r="I609" s="55">
        <v>2</v>
      </c>
      <c r="J609" s="56">
        <v>1</v>
      </c>
      <c r="K609" s="5"/>
      <c r="L609" s="649">
        <f>PRODUCT(C609:K609)</f>
        <v>20.77</v>
      </c>
    </row>
    <row r="610" spans="2:12" ht="15.75">
      <c r="B610" s="734" t="s">
        <v>704</v>
      </c>
      <c r="C610" s="18"/>
      <c r="D610" s="48">
        <v>3.25</v>
      </c>
      <c r="E610" s="59">
        <v>0.5</v>
      </c>
      <c r="F610" s="45">
        <v>7.13</v>
      </c>
      <c r="G610" s="18"/>
      <c r="H610" s="5"/>
      <c r="I610" s="55">
        <v>2</v>
      </c>
      <c r="J610" s="56">
        <v>1</v>
      </c>
      <c r="K610" s="30"/>
      <c r="L610" s="649">
        <f>PRODUCT(C610:K610)</f>
        <v>23.172499999999999</v>
      </c>
    </row>
    <row r="611" spans="2:12" ht="15.75">
      <c r="B611" s="734"/>
      <c r="C611" s="18"/>
      <c r="D611" s="18"/>
      <c r="E611" s="59"/>
      <c r="F611" s="45"/>
      <c r="G611" s="18"/>
      <c r="H611" s="5"/>
      <c r="I611" s="55"/>
      <c r="J611" s="56"/>
      <c r="K611" s="5"/>
      <c r="L611" s="649"/>
    </row>
    <row r="612" spans="2:12" ht="15.75">
      <c r="B612" s="734" t="s">
        <v>931</v>
      </c>
      <c r="C612" s="19"/>
      <c r="D612" s="19">
        <v>0.5</v>
      </c>
      <c r="E612" s="210">
        <v>0.3</v>
      </c>
      <c r="F612" s="47">
        <v>50</v>
      </c>
      <c r="G612" s="57"/>
      <c r="H612" s="21"/>
      <c r="I612" s="55">
        <v>2</v>
      </c>
      <c r="J612" s="56"/>
      <c r="K612" s="5"/>
      <c r="L612" s="649">
        <f>PRODUCT(C612:K612)</f>
        <v>15</v>
      </c>
    </row>
    <row r="613" spans="2:12" ht="15.75">
      <c r="B613" s="734" t="s">
        <v>933</v>
      </c>
      <c r="C613" s="19"/>
      <c r="D613" s="19">
        <v>2</v>
      </c>
      <c r="E613" s="59">
        <v>0.4</v>
      </c>
      <c r="F613" s="47">
        <v>40</v>
      </c>
      <c r="G613" s="57"/>
      <c r="H613" s="21"/>
      <c r="I613" s="55">
        <v>1</v>
      </c>
      <c r="J613" s="56"/>
      <c r="K613" s="5"/>
      <c r="L613" s="649">
        <f>PRODUCT(C613:K613)</f>
        <v>32</v>
      </c>
    </row>
    <row r="614" spans="2:12" ht="15.75">
      <c r="B614" s="734"/>
      <c r="C614" s="19"/>
      <c r="D614" s="19"/>
      <c r="E614" s="59"/>
      <c r="F614" s="47"/>
      <c r="G614" s="57"/>
      <c r="H614" s="21"/>
      <c r="I614" s="55"/>
      <c r="J614" s="56"/>
      <c r="K614" s="5"/>
      <c r="L614" s="649"/>
    </row>
    <row r="615" spans="2:12">
      <c r="B615" s="737" t="s">
        <v>980</v>
      </c>
      <c r="C615" s="39"/>
      <c r="D615" s="39"/>
      <c r="E615" s="39"/>
      <c r="F615" s="39"/>
      <c r="G615" s="39"/>
      <c r="H615" s="39"/>
      <c r="I615" s="39"/>
      <c r="J615" s="39"/>
      <c r="K615" s="39"/>
      <c r="L615" s="738"/>
    </row>
    <row r="616" spans="2:12" ht="15">
      <c r="B616" s="662" t="s">
        <v>599</v>
      </c>
      <c r="C616" s="269"/>
      <c r="D616" s="20">
        <v>1</v>
      </c>
      <c r="E616" s="20">
        <v>0.3</v>
      </c>
      <c r="F616" s="20">
        <v>1</v>
      </c>
      <c r="G616" s="270"/>
      <c r="H616" s="271"/>
      <c r="I616" s="56">
        <v>4</v>
      </c>
      <c r="J616" s="56">
        <v>4</v>
      </c>
      <c r="K616" s="30">
        <v>1.1000000000000001</v>
      </c>
      <c r="L616" s="649">
        <f>D616*E616*F616*I616*J616</f>
        <v>4.8</v>
      </c>
    </row>
    <row r="617" spans="2:12" ht="15">
      <c r="B617" s="662" t="s">
        <v>666</v>
      </c>
      <c r="C617" s="269"/>
      <c r="D617" s="20">
        <v>0.25</v>
      </c>
      <c r="E617" s="20">
        <v>0.3</v>
      </c>
      <c r="F617" s="20">
        <v>4.5</v>
      </c>
      <c r="G617" s="270"/>
      <c r="H617" s="271"/>
      <c r="I617" s="56">
        <v>2</v>
      </c>
      <c r="J617" s="56">
        <v>4</v>
      </c>
      <c r="K617" s="30">
        <v>1.1000000000000001</v>
      </c>
      <c r="L617" s="649">
        <f>D617*E617*F617*I617*J617</f>
        <v>2.6999999999999997</v>
      </c>
    </row>
    <row r="618" spans="2:12" ht="15">
      <c r="B618" s="662" t="s">
        <v>667</v>
      </c>
      <c r="C618" s="269"/>
      <c r="D618" s="20">
        <v>0.25</v>
      </c>
      <c r="E618" s="20">
        <v>0.3</v>
      </c>
      <c r="F618" s="20">
        <v>3.5</v>
      </c>
      <c r="G618" s="270"/>
      <c r="H618" s="271"/>
      <c r="I618" s="56">
        <v>2</v>
      </c>
      <c r="J618" s="56">
        <v>4</v>
      </c>
      <c r="K618" s="30">
        <v>1.1000000000000001</v>
      </c>
      <c r="L618" s="649">
        <f t="shared" ref="L618" si="33">D618*E618*F618*I618*J618</f>
        <v>2.1</v>
      </c>
    </row>
    <row r="619" spans="2:12" ht="16.5">
      <c r="B619" s="662"/>
      <c r="C619" s="270"/>
      <c r="D619" s="42"/>
      <c r="E619" s="42"/>
      <c r="F619" s="43"/>
      <c r="G619" s="270"/>
      <c r="H619" s="271"/>
      <c r="I619" s="35"/>
      <c r="J619" s="22"/>
      <c r="K619" s="30"/>
      <c r="L619" s="649"/>
    </row>
    <row r="620" spans="2:12" ht="16.5">
      <c r="B620" s="734"/>
      <c r="C620" s="19"/>
      <c r="D620" s="20"/>
      <c r="E620" s="20"/>
      <c r="F620" s="45"/>
      <c r="G620" s="20"/>
      <c r="H620" s="21"/>
      <c r="I620" s="41"/>
      <c r="J620" s="46"/>
      <c r="K620" s="17"/>
      <c r="L620" s="649"/>
    </row>
    <row r="621" spans="2:12" ht="15.75">
      <c r="B621" s="981" t="s">
        <v>414</v>
      </c>
      <c r="C621" s="982"/>
      <c r="D621" s="982"/>
      <c r="E621" s="982"/>
      <c r="F621" s="982"/>
      <c r="G621" s="982"/>
      <c r="H621" s="982"/>
      <c r="I621" s="982"/>
      <c r="J621" s="982"/>
      <c r="K621" s="982"/>
      <c r="L621" s="983"/>
    </row>
    <row r="622" spans="2:12">
      <c r="B622" s="651"/>
      <c r="L622" s="652"/>
    </row>
    <row r="623" spans="2:12" ht="15.6" customHeight="1">
      <c r="B623" s="638" t="s">
        <v>398</v>
      </c>
      <c r="C623" s="8">
        <v>3</v>
      </c>
      <c r="D623" s="1008" t="s">
        <v>1028</v>
      </c>
      <c r="E623" s="1009"/>
      <c r="F623" s="1009"/>
      <c r="G623" s="1009"/>
      <c r="H623" s="1009"/>
      <c r="I623" s="1009"/>
      <c r="J623" s="1009"/>
      <c r="K623" s="1009"/>
      <c r="L623" s="1010"/>
    </row>
    <row r="624" spans="2:12" ht="15">
      <c r="B624" s="1005"/>
      <c r="C624" s="1006"/>
      <c r="D624" s="1006"/>
      <c r="E624" s="1006"/>
      <c r="F624" s="1006"/>
      <c r="G624" s="1006"/>
      <c r="H624" s="1006"/>
      <c r="I624" s="1006"/>
      <c r="J624" s="1006"/>
      <c r="K624" s="1006"/>
      <c r="L624" s="1007"/>
    </row>
    <row r="625" spans="2:12" ht="31.15" customHeight="1">
      <c r="B625" s="733" t="s">
        <v>399</v>
      </c>
      <c r="C625" s="11">
        <f>+'PROPUESTA ECONOMICA(Proponente)'!C43</f>
        <v>3.3</v>
      </c>
      <c r="D625" s="12" t="str">
        <f>+VLOOKUP('MEMORIAS DE CANTIDADES'!C625,'PROPUESTA ECONOMICA(Proponente)'!$C$21:$H$310,5,FALSE)</f>
        <v>Solado de limpieza- concreto de 2000 psi, incluye suministro e instalación).</v>
      </c>
      <c r="E625" s="13"/>
      <c r="F625" s="12"/>
      <c r="G625" s="12"/>
      <c r="H625" s="12"/>
      <c r="I625" s="11" t="s">
        <v>400</v>
      </c>
      <c r="J625" s="12" t="str">
        <f>+VLOOKUP('MEMORIAS DE CANTIDADES'!C625,'PROPUESTA ECONOMICA(Proponente)'!$C$21:$H$310,6,FALSE)</f>
        <v>m2</v>
      </c>
      <c r="K625" s="11" t="s">
        <v>401</v>
      </c>
      <c r="L625" s="643">
        <f>SUM(L626:L682)</f>
        <v>462.29550000000012</v>
      </c>
    </row>
    <row r="626" spans="2:12" ht="15">
      <c r="B626" s="644"/>
      <c r="C626" s="16"/>
      <c r="D626" s="15"/>
      <c r="E626" s="15"/>
      <c r="F626" s="15"/>
      <c r="G626" s="15"/>
      <c r="H626" s="15"/>
      <c r="I626" s="15"/>
      <c r="J626" s="15"/>
      <c r="K626" s="17"/>
      <c r="L626" s="645"/>
    </row>
    <row r="627" spans="2:12" ht="47.25">
      <c r="B627" s="646" t="s">
        <v>402</v>
      </c>
      <c r="C627" s="18" t="s">
        <v>403</v>
      </c>
      <c r="D627" s="18" t="s">
        <v>404</v>
      </c>
      <c r="E627" s="18" t="s">
        <v>405</v>
      </c>
      <c r="F627" s="18" t="s">
        <v>406</v>
      </c>
      <c r="G627" s="18" t="s">
        <v>407</v>
      </c>
      <c r="H627" s="5" t="s">
        <v>408</v>
      </c>
      <c r="I627" s="18" t="s">
        <v>409</v>
      </c>
      <c r="J627" s="5" t="s">
        <v>410</v>
      </c>
      <c r="K627" s="5" t="s">
        <v>411</v>
      </c>
      <c r="L627" s="647" t="s">
        <v>412</v>
      </c>
    </row>
    <row r="628" spans="2:12" ht="16.5">
      <c r="B628" s="658" t="s">
        <v>438</v>
      </c>
      <c r="C628" s="18"/>
      <c r="D628" s="18"/>
      <c r="E628" s="18"/>
      <c r="G628" s="18"/>
      <c r="H628" s="5"/>
      <c r="I628" s="41"/>
      <c r="J628" s="46"/>
      <c r="K628" s="5"/>
      <c r="L628" s="649"/>
    </row>
    <row r="629" spans="2:12" ht="16.5">
      <c r="B629" s="708" t="s">
        <v>750</v>
      </c>
      <c r="C629" s="48"/>
      <c r="D629" s="48">
        <v>0.4</v>
      </c>
      <c r="E629" s="48"/>
      <c r="F629" s="45">
        <f>10.09*2+6.35*2+4.26*2+1.15*2</f>
        <v>43.699999999999989</v>
      </c>
      <c r="G629" s="48"/>
      <c r="H629" s="30"/>
      <c r="I629" s="41">
        <v>2</v>
      </c>
      <c r="J629" s="46"/>
      <c r="K629" s="30"/>
      <c r="L629" s="649">
        <f t="shared" ref="L629:L632" si="34">PRODUCT(C629:K629)</f>
        <v>34.959999999999994</v>
      </c>
    </row>
    <row r="630" spans="2:12" ht="16.5">
      <c r="B630" s="708" t="s">
        <v>751</v>
      </c>
      <c r="C630" s="48"/>
      <c r="D630" s="48">
        <v>0.5</v>
      </c>
      <c r="E630" s="48"/>
      <c r="F630" s="45">
        <v>3.3</v>
      </c>
      <c r="G630" s="48"/>
      <c r="H630" s="30"/>
      <c r="I630" s="41">
        <v>2</v>
      </c>
      <c r="J630" s="46"/>
      <c r="K630" s="30"/>
      <c r="L630" s="649">
        <f t="shared" si="34"/>
        <v>3.3</v>
      </c>
    </row>
    <row r="631" spans="2:12" ht="16.5">
      <c r="B631" s="708" t="s">
        <v>752</v>
      </c>
      <c r="C631" s="48"/>
      <c r="D631" s="48">
        <v>0.3</v>
      </c>
      <c r="E631" s="48"/>
      <c r="F631" s="45">
        <f>3.6*7</f>
        <v>25.2</v>
      </c>
      <c r="G631" s="48"/>
      <c r="H631" s="30"/>
      <c r="I631" s="41">
        <v>2</v>
      </c>
      <c r="J631" s="46"/>
      <c r="K631" s="30"/>
      <c r="L631" s="649">
        <f t="shared" si="34"/>
        <v>15.12</v>
      </c>
    </row>
    <row r="632" spans="2:12" ht="16.5">
      <c r="B632" s="708" t="s">
        <v>753</v>
      </c>
      <c r="C632" s="48"/>
      <c r="D632" s="48">
        <v>0.3</v>
      </c>
      <c r="E632" s="48"/>
      <c r="F632" s="45">
        <v>3.88</v>
      </c>
      <c r="G632" s="48"/>
      <c r="H632" s="30"/>
      <c r="I632" s="41">
        <v>2</v>
      </c>
      <c r="J632" s="46"/>
      <c r="K632" s="30"/>
      <c r="L632" s="649">
        <f t="shared" si="34"/>
        <v>2.3279999999999998</v>
      </c>
    </row>
    <row r="633" spans="2:12" ht="15.75">
      <c r="B633" s="740"/>
      <c r="C633" s="18"/>
      <c r="D633" s="18"/>
      <c r="E633" s="59"/>
      <c r="F633" s="45"/>
      <c r="G633" s="18"/>
      <c r="H633" s="5"/>
      <c r="I633" s="55"/>
      <c r="J633" s="56"/>
      <c r="K633" s="5"/>
      <c r="L633" s="649"/>
    </row>
    <row r="634" spans="2:12" ht="15.75">
      <c r="B634" s="739" t="s">
        <v>754</v>
      </c>
      <c r="C634" s="18"/>
      <c r="D634" s="18"/>
      <c r="E634" s="59"/>
      <c r="F634" s="45"/>
      <c r="G634" s="18"/>
      <c r="H634" s="5"/>
      <c r="I634" s="55"/>
      <c r="J634" s="56"/>
      <c r="K634" s="5"/>
      <c r="L634" s="649"/>
    </row>
    <row r="635" spans="2:12" ht="15.75">
      <c r="B635" s="708" t="s">
        <v>755</v>
      </c>
      <c r="C635" s="18"/>
      <c r="D635" s="48">
        <v>0.3</v>
      </c>
      <c r="E635" s="59"/>
      <c r="F635" s="45">
        <f>2.9*2</f>
        <v>5.8</v>
      </c>
      <c r="G635" s="18"/>
      <c r="H635" s="5"/>
      <c r="I635" s="55">
        <v>2</v>
      </c>
      <c r="J635" s="56"/>
      <c r="K635" s="5"/>
      <c r="L635" s="649">
        <f>PRODUCT(C635:K635)</f>
        <v>3.48</v>
      </c>
    </row>
    <row r="636" spans="2:12" ht="15.75">
      <c r="B636" s="708" t="s">
        <v>756</v>
      </c>
      <c r="C636" s="18"/>
      <c r="D636" s="48">
        <v>3</v>
      </c>
      <c r="E636" s="59"/>
      <c r="F636" s="45">
        <f>3.4*2</f>
        <v>6.8</v>
      </c>
      <c r="G636" s="18"/>
      <c r="H636" s="5"/>
      <c r="I636" s="55">
        <v>2</v>
      </c>
      <c r="J636" s="56"/>
      <c r="K636" s="5"/>
      <c r="L636" s="649">
        <f t="shared" ref="L636:L646" si="35">PRODUCT(C636:K636)</f>
        <v>40.799999999999997</v>
      </c>
    </row>
    <row r="637" spans="2:12" ht="15.75">
      <c r="B637" s="708" t="s">
        <v>757</v>
      </c>
      <c r="C637" s="18"/>
      <c r="D637" s="48">
        <v>0.3</v>
      </c>
      <c r="E637" s="59"/>
      <c r="F637" s="45">
        <f>2.8*2</f>
        <v>5.6</v>
      </c>
      <c r="G637" s="18"/>
      <c r="H637" s="5"/>
      <c r="I637" s="55">
        <v>2</v>
      </c>
      <c r="J637" s="56"/>
      <c r="K637" s="5"/>
      <c r="L637" s="649">
        <f t="shared" si="35"/>
        <v>3.36</v>
      </c>
    </row>
    <row r="638" spans="2:12" ht="15.75">
      <c r="B638" s="708" t="s">
        <v>758</v>
      </c>
      <c r="C638" s="18"/>
      <c r="D638" s="48">
        <v>0.3</v>
      </c>
      <c r="E638" s="59"/>
      <c r="F638" s="45">
        <f>3.3*1</f>
        <v>3.3</v>
      </c>
      <c r="G638" s="18"/>
      <c r="H638" s="5"/>
      <c r="I638" s="55">
        <v>2</v>
      </c>
      <c r="J638" s="56"/>
      <c r="K638" s="5"/>
      <c r="L638" s="649">
        <f t="shared" si="35"/>
        <v>1.9799999999999998</v>
      </c>
    </row>
    <row r="639" spans="2:12" ht="15.75">
      <c r="B639" s="708" t="s">
        <v>759</v>
      </c>
      <c r="C639" s="18"/>
      <c r="D639" s="48">
        <v>0.3</v>
      </c>
      <c r="E639" s="59"/>
      <c r="F639" s="45">
        <v>2.6</v>
      </c>
      <c r="G639" s="18"/>
      <c r="H639" s="5"/>
      <c r="I639" s="55">
        <v>2</v>
      </c>
      <c r="J639" s="56"/>
      <c r="K639" s="5"/>
      <c r="L639" s="649">
        <f t="shared" si="35"/>
        <v>1.56</v>
      </c>
    </row>
    <row r="640" spans="2:12" ht="15.75">
      <c r="B640" s="708" t="s">
        <v>760</v>
      </c>
      <c r="C640" s="18"/>
      <c r="D640" s="48">
        <v>0.4</v>
      </c>
      <c r="E640" s="59"/>
      <c r="F640" s="45">
        <f>+(5.59+5.5+5.5+5.27+5.2+5.2+5.2+5.3)*3</f>
        <v>128.28</v>
      </c>
      <c r="G640" s="18"/>
      <c r="H640" s="5"/>
      <c r="I640" s="55">
        <v>2</v>
      </c>
      <c r="J640" s="56"/>
      <c r="K640" s="5"/>
      <c r="L640" s="649">
        <f t="shared" si="35"/>
        <v>102.62400000000001</v>
      </c>
    </row>
    <row r="641" spans="2:12" ht="15.75">
      <c r="B641" s="708" t="s">
        <v>761</v>
      </c>
      <c r="C641" s="18"/>
      <c r="D641" s="48">
        <v>0.3</v>
      </c>
      <c r="E641" s="59"/>
      <c r="F641" s="45">
        <v>2.04</v>
      </c>
      <c r="G641" s="18"/>
      <c r="H641" s="5"/>
      <c r="I641" s="55">
        <v>2</v>
      </c>
      <c r="J641" s="56"/>
      <c r="K641" s="5"/>
      <c r="L641" s="649">
        <f t="shared" si="35"/>
        <v>1.224</v>
      </c>
    </row>
    <row r="642" spans="2:12" ht="15.75">
      <c r="B642" s="708" t="s">
        <v>762</v>
      </c>
      <c r="C642" s="18"/>
      <c r="D642" s="48">
        <v>0.3</v>
      </c>
      <c r="E642" s="59"/>
      <c r="F642" s="45">
        <f>+(4.08+2)*6</f>
        <v>36.480000000000004</v>
      </c>
      <c r="G642" s="18"/>
      <c r="H642" s="5"/>
      <c r="I642" s="55">
        <v>2</v>
      </c>
      <c r="J642" s="56"/>
      <c r="K642" s="5"/>
      <c r="L642" s="649">
        <f t="shared" si="35"/>
        <v>21.888000000000002</v>
      </c>
    </row>
    <row r="643" spans="2:12" ht="15.75">
      <c r="B643" s="708" t="s">
        <v>763</v>
      </c>
      <c r="C643" s="18"/>
      <c r="D643" s="48">
        <v>0.3</v>
      </c>
      <c r="E643" s="59"/>
      <c r="F643" s="45">
        <f>2*5*2</f>
        <v>20</v>
      </c>
      <c r="G643" s="18"/>
      <c r="H643" s="5"/>
      <c r="I643" s="55">
        <v>2</v>
      </c>
      <c r="J643" s="56"/>
      <c r="K643" s="5"/>
      <c r="L643" s="649">
        <f t="shared" si="35"/>
        <v>12</v>
      </c>
    </row>
    <row r="644" spans="2:12" ht="15.75">
      <c r="B644" s="708" t="s">
        <v>764</v>
      </c>
      <c r="C644" s="18"/>
      <c r="D644" s="48">
        <v>0.3</v>
      </c>
      <c r="E644" s="59"/>
      <c r="F644" s="45">
        <f>4.05*4</f>
        <v>16.2</v>
      </c>
      <c r="G644" s="18"/>
      <c r="H644" s="5"/>
      <c r="I644" s="55">
        <v>2</v>
      </c>
      <c r="J644" s="56"/>
      <c r="K644" s="5"/>
      <c r="L644" s="649">
        <f t="shared" si="35"/>
        <v>9.7199999999999989</v>
      </c>
    </row>
    <row r="645" spans="2:12" ht="15.75">
      <c r="B645" s="708" t="s">
        <v>765</v>
      </c>
      <c r="C645" s="18"/>
      <c r="D645" s="48">
        <v>0.3</v>
      </c>
      <c r="E645" s="59"/>
      <c r="F645" s="45">
        <f>6.08*4</f>
        <v>24.32</v>
      </c>
      <c r="G645" s="18"/>
      <c r="H645" s="5"/>
      <c r="I645" s="55">
        <v>2</v>
      </c>
      <c r="J645" s="56"/>
      <c r="K645" s="5"/>
      <c r="L645" s="649">
        <f t="shared" si="35"/>
        <v>14.591999999999999</v>
      </c>
    </row>
    <row r="646" spans="2:12" ht="15.75">
      <c r="B646" s="708" t="s">
        <v>766</v>
      </c>
      <c r="C646" s="18"/>
      <c r="D646" s="48">
        <v>0.3</v>
      </c>
      <c r="E646" s="59"/>
      <c r="F646" s="45">
        <v>2.04</v>
      </c>
      <c r="G646" s="18"/>
      <c r="H646" s="5"/>
      <c r="I646" s="55">
        <v>2</v>
      </c>
      <c r="J646" s="56"/>
      <c r="K646" s="5"/>
      <c r="L646" s="649">
        <f t="shared" si="35"/>
        <v>1.224</v>
      </c>
    </row>
    <row r="647" spans="2:12" ht="15.75">
      <c r="B647" s="708"/>
      <c r="C647" s="18"/>
      <c r="D647" s="48"/>
      <c r="E647" s="59"/>
      <c r="F647" s="45"/>
      <c r="G647" s="18"/>
      <c r="H647" s="5"/>
      <c r="I647" s="55"/>
      <c r="J647" s="56"/>
      <c r="K647" s="5"/>
      <c r="L647" s="649"/>
    </row>
    <row r="648" spans="2:12" ht="15.75">
      <c r="B648" s="734"/>
      <c r="C648" s="18"/>
      <c r="D648" s="18"/>
      <c r="E648" s="59"/>
      <c r="F648" s="45"/>
      <c r="G648" s="18"/>
      <c r="H648" s="5"/>
      <c r="I648" s="55"/>
      <c r="J648" s="56"/>
      <c r="K648" s="5"/>
      <c r="L648" s="649"/>
    </row>
    <row r="649" spans="2:12" ht="15.75">
      <c r="B649" s="715" t="s">
        <v>659</v>
      </c>
      <c r="C649" s="18"/>
      <c r="D649" s="18"/>
      <c r="E649" s="59"/>
      <c r="F649" s="45"/>
      <c r="G649" s="18"/>
      <c r="H649" s="5"/>
      <c r="I649" s="55"/>
      <c r="J649" s="56"/>
      <c r="K649" s="5"/>
      <c r="L649" s="649"/>
    </row>
    <row r="650" spans="2:12" ht="15.75">
      <c r="B650" s="708" t="s">
        <v>767</v>
      </c>
      <c r="C650" s="18"/>
      <c r="D650" s="48">
        <v>0.4</v>
      </c>
      <c r="E650" s="59"/>
      <c r="F650" s="45">
        <f>5.47+5.6+4.32+4.45+6.413+6.413+6.375+3.99+4.32+5.6+5.47</f>
        <v>58.420999999999999</v>
      </c>
      <c r="G650" s="18"/>
      <c r="H650" s="5"/>
      <c r="I650" s="55"/>
      <c r="J650" s="56"/>
      <c r="K650" s="5"/>
      <c r="L650" s="649">
        <f>PRODUCT(C650:K650)</f>
        <v>23.368400000000001</v>
      </c>
    </row>
    <row r="651" spans="2:12" ht="15.75">
      <c r="B651" s="708" t="s">
        <v>768</v>
      </c>
      <c r="C651" s="18"/>
      <c r="D651" s="48">
        <v>0.3</v>
      </c>
      <c r="E651" s="59"/>
      <c r="F651" s="45">
        <v>1.92</v>
      </c>
      <c r="G651" s="18"/>
      <c r="H651" s="5"/>
      <c r="I651" s="55"/>
      <c r="J651" s="56"/>
      <c r="K651" s="5"/>
      <c r="L651" s="649">
        <f t="shared" ref="L651:L652" si="36">PRODUCT(C651:K651)</f>
        <v>0.57599999999999996</v>
      </c>
    </row>
    <row r="652" spans="2:12" ht="15.75">
      <c r="B652" s="708" t="s">
        <v>769</v>
      </c>
      <c r="C652" s="18"/>
      <c r="D652" s="48">
        <v>0.4</v>
      </c>
      <c r="E652" s="59"/>
      <c r="F652" s="45">
        <f>5.47+5.6+4.32+4.45+4.208+4.002+4.102+3.79+4.25+5.6+5.47</f>
        <v>51.262</v>
      </c>
      <c r="G652" s="18"/>
      <c r="H652" s="5"/>
      <c r="I652" s="55"/>
      <c r="J652" s="56"/>
      <c r="K652" s="5"/>
      <c r="L652" s="649">
        <f t="shared" si="36"/>
        <v>20.504800000000003</v>
      </c>
    </row>
    <row r="653" spans="2:12" ht="15.75">
      <c r="B653" s="708" t="s">
        <v>488</v>
      </c>
      <c r="C653" s="18"/>
      <c r="D653" s="48">
        <v>0.4</v>
      </c>
      <c r="E653" s="59"/>
      <c r="F653" s="45">
        <f>5.47+5.6+4.32+4.45+2.766+2.766+2.587+3.99+4.32+5.6+5.47</f>
        <v>47.338999999999999</v>
      </c>
      <c r="G653" s="18"/>
      <c r="H653" s="5"/>
      <c r="I653" s="55"/>
      <c r="J653" s="56"/>
      <c r="K653" s="5"/>
      <c r="L653" s="649">
        <f>PRODUCT(C653:K653)</f>
        <v>18.935600000000001</v>
      </c>
    </row>
    <row r="654" spans="2:12" ht="15.75">
      <c r="B654" s="708" t="s">
        <v>491</v>
      </c>
      <c r="C654" s="18"/>
      <c r="D654" s="48">
        <v>0.3</v>
      </c>
      <c r="E654" s="59"/>
      <c r="F654" s="45">
        <v>2.2999999999999998</v>
      </c>
      <c r="G654" s="18"/>
      <c r="H654" s="5"/>
      <c r="I654" s="55"/>
      <c r="J654" s="56"/>
      <c r="K654" s="5"/>
      <c r="L654" s="649">
        <f t="shared" ref="L654:L668" si="37">PRODUCT(C654:K654)</f>
        <v>0.69</v>
      </c>
    </row>
    <row r="655" spans="2:12" ht="15.75">
      <c r="B655" s="708" t="s">
        <v>489</v>
      </c>
      <c r="C655" s="18"/>
      <c r="D655" s="48">
        <v>0.3</v>
      </c>
      <c r="E655" s="59"/>
      <c r="F655" s="45">
        <v>2.6</v>
      </c>
      <c r="G655" s="18"/>
      <c r="H655" s="5"/>
      <c r="I655" s="55"/>
      <c r="J655" s="56"/>
      <c r="K655" s="5"/>
      <c r="L655" s="649">
        <f t="shared" si="37"/>
        <v>0.78</v>
      </c>
    </row>
    <row r="656" spans="2:12" ht="15.75">
      <c r="B656" s="708" t="s">
        <v>490</v>
      </c>
      <c r="C656" s="18"/>
      <c r="D656" s="48">
        <v>0.3</v>
      </c>
      <c r="E656" s="59"/>
      <c r="F656" s="45">
        <v>2.5</v>
      </c>
      <c r="G656" s="18"/>
      <c r="H656" s="5"/>
      <c r="I656" s="55"/>
      <c r="J656" s="56"/>
      <c r="K656" s="5"/>
      <c r="L656" s="649">
        <f t="shared" si="37"/>
        <v>0.75</v>
      </c>
    </row>
    <row r="657" spans="2:12" ht="15.75">
      <c r="B657" s="708" t="s">
        <v>492</v>
      </c>
      <c r="C657" s="18"/>
      <c r="D657" s="48">
        <v>0.3</v>
      </c>
      <c r="E657" s="59"/>
      <c r="F657" s="45">
        <f>4.08*4</f>
        <v>16.32</v>
      </c>
      <c r="G657" s="18"/>
      <c r="H657" s="5"/>
      <c r="I657" s="55"/>
      <c r="J657" s="56"/>
      <c r="K657" s="5"/>
      <c r="L657" s="649">
        <f t="shared" si="37"/>
        <v>4.8959999999999999</v>
      </c>
    </row>
    <row r="658" spans="2:12" ht="15.75">
      <c r="B658" s="708" t="s">
        <v>495</v>
      </c>
      <c r="C658" s="18"/>
      <c r="D658" s="48">
        <v>0.3</v>
      </c>
      <c r="E658" s="59"/>
      <c r="F658" s="45">
        <f>2*2</f>
        <v>4</v>
      </c>
      <c r="G658" s="18"/>
      <c r="H658" s="5"/>
      <c r="I658" s="55"/>
      <c r="J658" s="56"/>
      <c r="K658" s="5"/>
      <c r="L658" s="649">
        <f t="shared" si="37"/>
        <v>1.2</v>
      </c>
    </row>
    <row r="659" spans="2:12" ht="15.75">
      <c r="B659" s="708" t="s">
        <v>493</v>
      </c>
      <c r="C659" s="18"/>
      <c r="D659" s="48">
        <v>0.3</v>
      </c>
      <c r="E659" s="59"/>
      <c r="F659" s="45">
        <f>+(4.53+2.4)*2</f>
        <v>13.86</v>
      </c>
      <c r="G659" s="18"/>
      <c r="H659" s="5"/>
      <c r="I659" s="55"/>
      <c r="J659" s="56"/>
      <c r="K659" s="5"/>
      <c r="L659" s="649">
        <f t="shared" si="37"/>
        <v>4.1579999999999995</v>
      </c>
    </row>
    <row r="660" spans="2:12" ht="15.75">
      <c r="B660" s="708" t="s">
        <v>494</v>
      </c>
      <c r="C660" s="18"/>
      <c r="D660" s="48">
        <v>0.3</v>
      </c>
      <c r="E660" s="59"/>
      <c r="F660" s="45">
        <f>2.04+2</f>
        <v>4.04</v>
      </c>
      <c r="G660" s="18"/>
      <c r="H660" s="5"/>
      <c r="I660" s="55"/>
      <c r="J660" s="56"/>
      <c r="K660" s="5"/>
      <c r="L660" s="649">
        <f t="shared" si="37"/>
        <v>1.212</v>
      </c>
    </row>
    <row r="661" spans="2:12" ht="15.75">
      <c r="B661" s="708" t="s">
        <v>770</v>
      </c>
      <c r="C661" s="18"/>
      <c r="D661" s="48">
        <v>0.3</v>
      </c>
      <c r="E661" s="59"/>
      <c r="F661" s="45">
        <f>4+8*1</f>
        <v>12</v>
      </c>
      <c r="G661" s="18"/>
      <c r="H661" s="5"/>
      <c r="I661" s="55"/>
      <c r="J661" s="56"/>
      <c r="K661" s="5"/>
      <c r="L661" s="649">
        <f t="shared" si="37"/>
        <v>3.5999999999999996</v>
      </c>
    </row>
    <row r="662" spans="2:12" ht="15.75">
      <c r="B662" s="708" t="s">
        <v>771</v>
      </c>
      <c r="C662" s="18"/>
      <c r="D662" s="48">
        <v>0.3</v>
      </c>
      <c r="E662" s="59"/>
      <c r="F662" s="45">
        <f>+(4.08+2)*3</f>
        <v>18.240000000000002</v>
      </c>
      <c r="G662" s="18"/>
      <c r="H662" s="5"/>
      <c r="I662" s="55"/>
      <c r="J662" s="56"/>
      <c r="K662" s="5"/>
      <c r="L662" s="649">
        <f t="shared" si="37"/>
        <v>5.4720000000000004</v>
      </c>
    </row>
    <row r="663" spans="2:12" ht="15.75">
      <c r="B663" s="708" t="s">
        <v>772</v>
      </c>
      <c r="C663" s="18"/>
      <c r="D663" s="48">
        <v>0.3</v>
      </c>
      <c r="E663" s="59"/>
      <c r="F663" s="45">
        <f>+(4.08+2)*2</f>
        <v>12.16</v>
      </c>
      <c r="G663" s="18"/>
      <c r="H663" s="5"/>
      <c r="I663" s="55"/>
      <c r="J663" s="56"/>
      <c r="K663" s="5"/>
      <c r="L663" s="649">
        <f t="shared" si="37"/>
        <v>3.6479999999999997</v>
      </c>
    </row>
    <row r="664" spans="2:12" ht="15.75">
      <c r="B664" s="708" t="s">
        <v>773</v>
      </c>
      <c r="C664" s="18"/>
      <c r="D664" s="48">
        <v>0.3</v>
      </c>
      <c r="E664" s="59"/>
      <c r="F664" s="45">
        <v>6.08</v>
      </c>
      <c r="G664" s="18"/>
      <c r="H664" s="5"/>
      <c r="I664" s="55"/>
      <c r="J664" s="56"/>
      <c r="K664" s="5"/>
      <c r="L664" s="649">
        <f t="shared" si="37"/>
        <v>1.8239999999999998</v>
      </c>
    </row>
    <row r="665" spans="2:12" ht="15.75">
      <c r="B665" s="708" t="s">
        <v>774</v>
      </c>
      <c r="C665" s="18"/>
      <c r="D665" s="48">
        <v>0.3</v>
      </c>
      <c r="E665" s="59"/>
      <c r="F665" s="45">
        <v>6.08</v>
      </c>
      <c r="G665" s="18"/>
      <c r="H665" s="5"/>
      <c r="I665" s="55"/>
      <c r="J665" s="56"/>
      <c r="K665" s="5"/>
      <c r="L665" s="649">
        <f t="shared" si="37"/>
        <v>1.8239999999999998</v>
      </c>
    </row>
    <row r="666" spans="2:12" ht="15.75">
      <c r="B666" s="708" t="s">
        <v>775</v>
      </c>
      <c r="C666" s="18"/>
      <c r="D666" s="48">
        <v>0.3</v>
      </c>
      <c r="E666" s="59"/>
      <c r="F666" s="45">
        <v>4.08</v>
      </c>
      <c r="G666" s="18"/>
      <c r="H666" s="5"/>
      <c r="I666" s="55"/>
      <c r="J666" s="56"/>
      <c r="K666" s="5"/>
      <c r="L666" s="649">
        <f t="shared" si="37"/>
        <v>1.224</v>
      </c>
    </row>
    <row r="667" spans="2:12" ht="15.75">
      <c r="B667" s="708" t="s">
        <v>776</v>
      </c>
      <c r="C667" s="18"/>
      <c r="D667" s="48">
        <v>0.3</v>
      </c>
      <c r="E667" s="59"/>
      <c r="F667" s="45">
        <v>4.04</v>
      </c>
      <c r="G667" s="18"/>
      <c r="H667" s="5"/>
      <c r="I667" s="55"/>
      <c r="J667" s="56"/>
      <c r="K667" s="5"/>
      <c r="L667" s="649">
        <f t="shared" si="37"/>
        <v>1.212</v>
      </c>
    </row>
    <row r="668" spans="2:12" ht="15.75">
      <c r="B668" s="708" t="s">
        <v>777</v>
      </c>
      <c r="C668" s="18"/>
      <c r="D668" s="48">
        <v>0.3</v>
      </c>
      <c r="E668" s="59"/>
      <c r="F668" s="45">
        <v>2</v>
      </c>
      <c r="G668" s="18"/>
      <c r="H668" s="5"/>
      <c r="I668" s="55"/>
      <c r="J668" s="56"/>
      <c r="K668" s="5"/>
      <c r="L668" s="649">
        <f t="shared" si="37"/>
        <v>0.6</v>
      </c>
    </row>
    <row r="669" spans="2:12" ht="15.75">
      <c r="B669" s="708" t="s">
        <v>778</v>
      </c>
      <c r="C669" s="18"/>
      <c r="D669" s="48">
        <v>0.3</v>
      </c>
      <c r="E669" s="59"/>
      <c r="F669" s="45">
        <v>4.0780000000000003</v>
      </c>
      <c r="G669" s="18"/>
      <c r="H669" s="5"/>
      <c r="I669" s="55"/>
      <c r="J669" s="56"/>
      <c r="K669" s="5"/>
      <c r="L669" s="649">
        <f>PRODUCT(C669:K669)</f>
        <v>1.2234</v>
      </c>
    </row>
    <row r="670" spans="2:12" ht="15.75">
      <c r="B670" s="708" t="s">
        <v>779</v>
      </c>
      <c r="C670" s="18"/>
      <c r="D670" s="48">
        <v>0.3</v>
      </c>
      <c r="E670" s="59"/>
      <c r="F670" s="45">
        <v>2.0310000000000001</v>
      </c>
      <c r="G670" s="18"/>
      <c r="H670" s="5"/>
      <c r="I670" s="55"/>
      <c r="J670" s="56"/>
      <c r="K670" s="5"/>
      <c r="L670" s="649">
        <f t="shared" ref="L670:L674" si="38">PRODUCT(C670:K670)</f>
        <v>0.60930000000000006</v>
      </c>
    </row>
    <row r="671" spans="2:12" ht="15.75">
      <c r="B671" s="734"/>
      <c r="C671" s="18"/>
      <c r="D671" s="48"/>
      <c r="E671" s="59"/>
      <c r="F671" s="45"/>
      <c r="G671" s="18"/>
      <c r="H671" s="5"/>
      <c r="I671" s="55"/>
      <c r="J671" s="56"/>
      <c r="K671" s="5"/>
      <c r="L671" s="649"/>
    </row>
    <row r="672" spans="2:12" ht="15.75">
      <c r="B672" s="715" t="s">
        <v>594</v>
      </c>
      <c r="C672" s="18"/>
      <c r="D672" s="48"/>
      <c r="E672" s="59"/>
      <c r="F672" s="45"/>
      <c r="G672" s="18"/>
      <c r="H672" s="5"/>
      <c r="I672" s="55"/>
      <c r="J672" s="56"/>
      <c r="K672" s="5"/>
      <c r="L672" s="649"/>
    </row>
    <row r="673" spans="2:12" ht="15.75">
      <c r="B673" s="708" t="s">
        <v>780</v>
      </c>
      <c r="C673" s="18"/>
      <c r="D673" s="48">
        <v>0.3</v>
      </c>
      <c r="E673" s="59"/>
      <c r="F673" s="45">
        <f>+(6.78+4.26+7.04)*2</f>
        <v>36.159999999999997</v>
      </c>
      <c r="G673" s="18"/>
      <c r="H673" s="5"/>
      <c r="I673" s="55"/>
      <c r="J673" s="56">
        <v>2</v>
      </c>
      <c r="K673" s="5"/>
      <c r="L673" s="649">
        <f t="shared" si="38"/>
        <v>21.695999999999998</v>
      </c>
    </row>
    <row r="674" spans="2:12" ht="15.75">
      <c r="B674" s="708" t="s">
        <v>781</v>
      </c>
      <c r="C674" s="18"/>
      <c r="D674" s="48">
        <v>0.3</v>
      </c>
      <c r="E674" s="59"/>
      <c r="F674" s="45">
        <f>3.68*4</f>
        <v>14.72</v>
      </c>
      <c r="G674" s="18"/>
      <c r="H674" s="5"/>
      <c r="I674" s="55"/>
      <c r="J674" s="56">
        <v>2</v>
      </c>
      <c r="K674" s="5"/>
      <c r="L674" s="649">
        <f t="shared" si="38"/>
        <v>8.8320000000000007</v>
      </c>
    </row>
    <row r="675" spans="2:12" ht="15.75">
      <c r="B675" s="734"/>
      <c r="C675" s="18"/>
      <c r="D675" s="48"/>
      <c r="E675" s="59"/>
      <c r="F675" s="45"/>
      <c r="G675" s="18"/>
      <c r="H675" s="5"/>
      <c r="I675" s="55"/>
      <c r="J675" s="56"/>
      <c r="K675" s="5"/>
      <c r="L675" s="649"/>
    </row>
    <row r="676" spans="2:12" ht="16.5">
      <c r="B676" s="734" t="s">
        <v>961</v>
      </c>
      <c r="C676" s="19"/>
      <c r="D676" s="48">
        <v>0.3</v>
      </c>
      <c r="E676" s="20"/>
      <c r="F676" s="45">
        <v>171</v>
      </c>
      <c r="G676" s="20"/>
      <c r="H676" s="21"/>
      <c r="I676" s="41"/>
      <c r="J676" s="46"/>
      <c r="K676" s="17"/>
      <c r="L676" s="649">
        <f>PRODUCT(C676:K676)</f>
        <v>51.3</v>
      </c>
    </row>
    <row r="677" spans="2:12" ht="16.5">
      <c r="B677" s="734"/>
      <c r="C677" s="19"/>
      <c r="D677" s="48"/>
      <c r="E677" s="202"/>
      <c r="F677" s="45"/>
      <c r="G677" s="20"/>
      <c r="H677" s="21"/>
      <c r="I677" s="41"/>
      <c r="J677" s="46"/>
      <c r="K677" s="17"/>
      <c r="L677" s="649"/>
    </row>
    <row r="678" spans="2:12" ht="15.75">
      <c r="B678" s="662" t="s">
        <v>975</v>
      </c>
      <c r="C678" s="19"/>
      <c r="D678" s="19"/>
      <c r="E678" s="48"/>
      <c r="F678" s="47"/>
      <c r="G678" s="57"/>
      <c r="H678" s="21"/>
      <c r="I678" s="55"/>
      <c r="J678" s="56"/>
      <c r="K678" s="354"/>
      <c r="L678" s="649"/>
    </row>
    <row r="679" spans="2:12" ht="16.5">
      <c r="B679" s="662" t="s">
        <v>666</v>
      </c>
      <c r="C679" s="269"/>
      <c r="D679" s="42">
        <v>0.25</v>
      </c>
      <c r="E679" s="42"/>
      <c r="F679" s="43">
        <v>3</v>
      </c>
      <c r="G679" s="270"/>
      <c r="H679" s="271"/>
      <c r="I679" s="35">
        <v>2</v>
      </c>
      <c r="J679" s="22">
        <v>4</v>
      </c>
      <c r="K679" s="17"/>
      <c r="L679" s="649">
        <f>PRODUCT(C679:K679)</f>
        <v>6</v>
      </c>
    </row>
    <row r="680" spans="2:12" ht="16.5">
      <c r="B680" s="662" t="s">
        <v>667</v>
      </c>
      <c r="C680" s="269"/>
      <c r="D680" s="42">
        <v>0.25</v>
      </c>
      <c r="E680" s="42"/>
      <c r="F680" s="43">
        <v>3</v>
      </c>
      <c r="G680" s="270"/>
      <c r="H680" s="271"/>
      <c r="I680" s="35">
        <v>2</v>
      </c>
      <c r="J680" s="22">
        <v>4</v>
      </c>
      <c r="K680" s="17"/>
      <c r="L680" s="649">
        <f t="shared" ref="L680" si="39">PRODUCT(C680:K680)</f>
        <v>6</v>
      </c>
    </row>
    <row r="681" spans="2:12" ht="16.5">
      <c r="B681" s="731"/>
      <c r="C681" s="19"/>
      <c r="D681" s="20"/>
      <c r="E681" s="20"/>
      <c r="F681" s="47"/>
      <c r="G681" s="20"/>
      <c r="H681" s="21"/>
      <c r="I681" s="41"/>
      <c r="J681" s="46"/>
      <c r="K681" s="17"/>
      <c r="L681" s="649"/>
    </row>
    <row r="682" spans="2:12" ht="15.75">
      <c r="B682" s="1002" t="s">
        <v>414</v>
      </c>
      <c r="C682" s="1003"/>
      <c r="D682" s="1003"/>
      <c r="E682" s="1003"/>
      <c r="F682" s="1003"/>
      <c r="G682" s="1003"/>
      <c r="H682" s="1003"/>
      <c r="I682" s="1003"/>
      <c r="J682" s="1003"/>
      <c r="K682" s="1003"/>
      <c r="L682" s="1004"/>
    </row>
    <row r="683" spans="2:12">
      <c r="B683" s="651"/>
      <c r="L683" s="652"/>
    </row>
    <row r="684" spans="2:12" ht="15.75">
      <c r="B684" s="638" t="s">
        <v>398</v>
      </c>
      <c r="C684" s="8">
        <v>3</v>
      </c>
      <c r="D684" s="1008" t="s">
        <v>1028</v>
      </c>
      <c r="E684" s="1009"/>
      <c r="F684" s="1009"/>
      <c r="G684" s="1009"/>
      <c r="H684" s="1009"/>
      <c r="I684" s="1009"/>
      <c r="J684" s="1009"/>
      <c r="K684" s="1009"/>
      <c r="L684" s="1010"/>
    </row>
    <row r="685" spans="2:12" ht="15">
      <c r="B685" s="1005"/>
      <c r="C685" s="1006"/>
      <c r="D685" s="1006"/>
      <c r="E685" s="1006"/>
      <c r="F685" s="1006"/>
      <c r="G685" s="1006"/>
      <c r="H685" s="1006"/>
      <c r="I685" s="1006"/>
      <c r="J685" s="1006"/>
      <c r="K685" s="1006"/>
      <c r="L685" s="1007"/>
    </row>
    <row r="686" spans="2:12" ht="78.75">
      <c r="B686" s="733" t="s">
        <v>399</v>
      </c>
      <c r="C686" s="11">
        <f>+'PROPUESTA ECONOMICA(Proponente)'!C44</f>
        <v>3.4</v>
      </c>
      <c r="D686" s="12" t="str">
        <f>+VLOOKUP('MEMORIAS DE CANTIDADES'!C686,'PROPUESTA ECONOMICA(Proponente)'!$C$21:$H$310,5,FALSE)</f>
        <v>RELLENO SELECCIONADO: Relleno compactado para área cimentaciones, con material seleccionado, zahorra al 95% del proctor estándar en cimentación. (suministro, humedecimiento y compactación).</v>
      </c>
      <c r="E686" s="13"/>
      <c r="F686" s="12"/>
      <c r="G686" s="12"/>
      <c r="H686" s="12"/>
      <c r="I686" s="11" t="s">
        <v>400</v>
      </c>
      <c r="J686" s="12" t="str">
        <f>+VLOOKUP('MEMORIAS DE CANTIDADES'!C686,'PROPUESTA ECONOMICA(Proponente)'!$C$21:$H$310,6,FALSE)</f>
        <v>m3</v>
      </c>
      <c r="K686" s="11" t="s">
        <v>401</v>
      </c>
      <c r="L686" s="643">
        <f>SUM(L687:L760)</f>
        <v>2017.9716699999994</v>
      </c>
    </row>
    <row r="687" spans="2:12" ht="15">
      <c r="B687" s="644"/>
      <c r="C687" s="16"/>
      <c r="D687" s="15"/>
      <c r="E687" s="15"/>
      <c r="F687" s="15"/>
      <c r="G687" s="15"/>
      <c r="H687" s="15"/>
      <c r="I687" s="15"/>
      <c r="J687" s="15"/>
      <c r="K687" s="17"/>
      <c r="L687" s="645"/>
    </row>
    <row r="688" spans="2:12" ht="47.25">
      <c r="B688" s="646" t="s">
        <v>402</v>
      </c>
      <c r="C688" s="18" t="s">
        <v>403</v>
      </c>
      <c r="D688" s="18" t="s">
        <v>404</v>
      </c>
      <c r="E688" s="18" t="s">
        <v>405</v>
      </c>
      <c r="F688" s="18" t="s">
        <v>406</v>
      </c>
      <c r="G688" s="18" t="s">
        <v>407</v>
      </c>
      <c r="H688" s="5" t="s">
        <v>408</v>
      </c>
      <c r="I688" s="18" t="s">
        <v>409</v>
      </c>
      <c r="J688" s="5" t="s">
        <v>410</v>
      </c>
      <c r="K688" s="5" t="s">
        <v>411</v>
      </c>
      <c r="L688" s="647" t="s">
        <v>412</v>
      </c>
    </row>
    <row r="689" spans="2:12" ht="16.5">
      <c r="B689" s="658" t="s">
        <v>438</v>
      </c>
      <c r="C689" s="18"/>
      <c r="D689" s="18"/>
      <c r="E689" s="18"/>
      <c r="G689" s="18"/>
      <c r="H689" s="5"/>
      <c r="I689" s="41">
        <v>2</v>
      </c>
      <c r="J689" s="46"/>
      <c r="K689" s="5"/>
      <c r="L689" s="649"/>
    </row>
    <row r="690" spans="2:12" ht="15">
      <c r="B690" s="708" t="s">
        <v>717</v>
      </c>
      <c r="C690" s="48"/>
      <c r="D690" s="48">
        <v>4.4000000000000004</v>
      </c>
      <c r="E690" s="48">
        <v>1</v>
      </c>
      <c r="F690" s="45">
        <v>7.5</v>
      </c>
      <c r="G690" s="48"/>
      <c r="H690" s="30"/>
      <c r="I690" s="55">
        <v>3</v>
      </c>
      <c r="J690" s="56">
        <v>2</v>
      </c>
      <c r="K690" s="30">
        <v>1.1000000000000001</v>
      </c>
      <c r="L690" s="649">
        <f>PRODUCT(C690:K690)</f>
        <v>217.8</v>
      </c>
    </row>
    <row r="691" spans="2:12" ht="15">
      <c r="B691" s="708" t="s">
        <v>718</v>
      </c>
      <c r="C691" s="48"/>
      <c r="D691" s="48">
        <v>2.5</v>
      </c>
      <c r="E691" s="48">
        <v>1</v>
      </c>
      <c r="F691" s="45">
        <v>6.65</v>
      </c>
      <c r="G691" s="48"/>
      <c r="H691" s="30"/>
      <c r="I691" s="55">
        <v>1</v>
      </c>
      <c r="J691" s="56">
        <v>2</v>
      </c>
      <c r="K691" s="30">
        <v>1.1000000000000001</v>
      </c>
      <c r="L691" s="649">
        <f t="shared" ref="L691" si="40">PRODUCT(C691:K691)</f>
        <v>36.575000000000003</v>
      </c>
    </row>
    <row r="692" spans="2:12" ht="16.5">
      <c r="B692" s="708" t="s">
        <v>750</v>
      </c>
      <c r="C692" s="48"/>
      <c r="D692" s="48">
        <v>0.4</v>
      </c>
      <c r="E692" s="48">
        <v>0.2</v>
      </c>
      <c r="F692" s="45">
        <f>10.09*2+6.35*2+4.26*2+1.15*2</f>
        <v>43.699999999999989</v>
      </c>
      <c r="G692" s="48"/>
      <c r="H692" s="30"/>
      <c r="I692" s="41">
        <v>2</v>
      </c>
      <c r="J692" s="46"/>
      <c r="K692" s="30">
        <v>1.1000000000000001</v>
      </c>
      <c r="L692" s="649">
        <f t="shared" ref="L692:L695" si="41">PRODUCT(C692:K692)</f>
        <v>7.6911999999999994</v>
      </c>
    </row>
    <row r="693" spans="2:12" ht="16.5">
      <c r="B693" s="708" t="s">
        <v>751</v>
      </c>
      <c r="C693" s="48"/>
      <c r="D693" s="48">
        <v>0.5</v>
      </c>
      <c r="E693" s="48">
        <v>0.2</v>
      </c>
      <c r="F693" s="45">
        <v>3.3</v>
      </c>
      <c r="G693" s="48"/>
      <c r="H693" s="30"/>
      <c r="I693" s="41">
        <v>2</v>
      </c>
      <c r="J693" s="46"/>
      <c r="K693" s="30">
        <v>1.1000000000000001</v>
      </c>
      <c r="L693" s="649">
        <f t="shared" si="41"/>
        <v>0.72600000000000009</v>
      </c>
    </row>
    <row r="694" spans="2:12" ht="16.5">
      <c r="B694" s="708" t="s">
        <v>752</v>
      </c>
      <c r="C694" s="48"/>
      <c r="D694" s="48">
        <v>0.3</v>
      </c>
      <c r="E694" s="48">
        <v>0.2</v>
      </c>
      <c r="F694" s="45">
        <f>3.6*7</f>
        <v>25.2</v>
      </c>
      <c r="G694" s="48"/>
      <c r="H694" s="30"/>
      <c r="I694" s="41">
        <v>2</v>
      </c>
      <c r="J694" s="46"/>
      <c r="K694" s="30">
        <v>1.1000000000000001</v>
      </c>
      <c r="L694" s="649">
        <f t="shared" si="41"/>
        <v>3.3264000000000005</v>
      </c>
    </row>
    <row r="695" spans="2:12" ht="16.5">
      <c r="B695" s="708" t="s">
        <v>753</v>
      </c>
      <c r="C695" s="48"/>
      <c r="D695" s="48">
        <v>0.3</v>
      </c>
      <c r="E695" s="48">
        <v>0.2</v>
      </c>
      <c r="F695" s="45">
        <v>3.88</v>
      </c>
      <c r="G695" s="48"/>
      <c r="H695" s="30"/>
      <c r="I695" s="41">
        <v>2</v>
      </c>
      <c r="J695" s="46"/>
      <c r="K695" s="30">
        <v>1.1000000000000001</v>
      </c>
      <c r="L695" s="649">
        <f t="shared" si="41"/>
        <v>0.51215999999999995</v>
      </c>
    </row>
    <row r="696" spans="2:12" ht="16.5">
      <c r="B696" s="708"/>
      <c r="C696" s="48"/>
      <c r="D696" s="48"/>
      <c r="E696" s="48"/>
      <c r="F696" s="45"/>
      <c r="G696" s="48"/>
      <c r="H696" s="30"/>
      <c r="I696" s="41"/>
      <c r="J696" s="46"/>
      <c r="K696" s="30"/>
      <c r="L696" s="649"/>
    </row>
    <row r="697" spans="2:12" ht="15.75">
      <c r="B697" s="735"/>
      <c r="C697" s="18"/>
      <c r="D697" s="18"/>
      <c r="E697" s="59"/>
      <c r="F697" s="45"/>
      <c r="G697" s="18"/>
      <c r="H697" s="5"/>
      <c r="I697" s="55"/>
      <c r="J697" s="56"/>
      <c r="K697" s="5"/>
      <c r="L697" s="649"/>
    </row>
    <row r="698" spans="2:12" ht="15.75">
      <c r="B698" s="736" t="s">
        <v>754</v>
      </c>
      <c r="C698" s="18"/>
      <c r="D698" s="18"/>
      <c r="E698" s="59"/>
      <c r="F698" s="45"/>
      <c r="G698" s="18"/>
      <c r="H698" s="5"/>
      <c r="I698" s="55"/>
      <c r="J698" s="56"/>
      <c r="K698" s="5"/>
      <c r="L698" s="649"/>
    </row>
    <row r="699" spans="2:12" ht="15.75">
      <c r="B699" s="734" t="s">
        <v>599</v>
      </c>
      <c r="C699" s="18"/>
      <c r="D699" s="990">
        <v>10</v>
      </c>
      <c r="E699" s="990">
        <v>1</v>
      </c>
      <c r="F699" s="990">
        <v>3.5</v>
      </c>
      <c r="G699" s="18"/>
      <c r="H699" s="5"/>
      <c r="I699" s="990">
        <v>18</v>
      </c>
      <c r="J699" s="56"/>
      <c r="K699" s="30">
        <v>1.1000000000000001</v>
      </c>
      <c r="L699" s="1031">
        <f>PRODUCT(C699:K699)</f>
        <v>693</v>
      </c>
    </row>
    <row r="700" spans="2:12" ht="15.75">
      <c r="B700" s="734" t="s">
        <v>600</v>
      </c>
      <c r="C700" s="18"/>
      <c r="D700" s="991"/>
      <c r="E700" s="991"/>
      <c r="F700" s="991"/>
      <c r="G700" s="18"/>
      <c r="H700" s="5"/>
      <c r="I700" s="991"/>
      <c r="J700" s="56"/>
      <c r="K700" s="30">
        <v>1.1000000000000001</v>
      </c>
      <c r="L700" s="1032">
        <f>PRODUCT(C700:K700)</f>
        <v>1.1000000000000001</v>
      </c>
    </row>
    <row r="701" spans="2:12" ht="15.75">
      <c r="B701" s="734" t="s">
        <v>601</v>
      </c>
      <c r="C701" s="18"/>
      <c r="D701" s="992"/>
      <c r="E701" s="992"/>
      <c r="F701" s="992"/>
      <c r="G701" s="18"/>
      <c r="H701" s="5"/>
      <c r="I701" s="992"/>
      <c r="J701" s="56"/>
      <c r="K701" s="30">
        <v>1.1000000000000001</v>
      </c>
      <c r="L701" s="1033">
        <f>PRODUCT(C701:K701)</f>
        <v>1.1000000000000001</v>
      </c>
    </row>
    <row r="702" spans="2:12" ht="15.75">
      <c r="B702" s="708" t="s">
        <v>755</v>
      </c>
      <c r="C702" s="18"/>
      <c r="D702" s="48">
        <v>0.3</v>
      </c>
      <c r="E702" s="59">
        <v>0.2</v>
      </c>
      <c r="F702" s="135">
        <f>2.9*2</f>
        <v>5.8</v>
      </c>
      <c r="G702" s="18"/>
      <c r="H702" s="5"/>
      <c r="I702" s="55">
        <v>2</v>
      </c>
      <c r="J702" s="56"/>
      <c r="K702" s="30">
        <v>1.1000000000000001</v>
      </c>
      <c r="L702" s="649">
        <f>PRODUCT(C702:K702)</f>
        <v>0.76560000000000006</v>
      </c>
    </row>
    <row r="703" spans="2:12" ht="15.75">
      <c r="B703" s="708" t="s">
        <v>756</v>
      </c>
      <c r="C703" s="18"/>
      <c r="D703" s="48">
        <v>3</v>
      </c>
      <c r="E703" s="59">
        <v>0.2</v>
      </c>
      <c r="F703" s="45">
        <f>3.4*2</f>
        <v>6.8</v>
      </c>
      <c r="G703" s="18"/>
      <c r="H703" s="5"/>
      <c r="I703" s="55">
        <v>2</v>
      </c>
      <c r="J703" s="56"/>
      <c r="K703" s="30">
        <v>1.1000000000000001</v>
      </c>
      <c r="L703" s="649">
        <f t="shared" ref="L703:L713" si="42">PRODUCT(C703:K703)</f>
        <v>8.9760000000000009</v>
      </c>
    </row>
    <row r="704" spans="2:12" ht="15.75">
      <c r="B704" s="708" t="s">
        <v>757</v>
      </c>
      <c r="C704" s="18"/>
      <c r="D704" s="48">
        <v>0.3</v>
      </c>
      <c r="E704" s="59">
        <v>0.2</v>
      </c>
      <c r="F704" s="45">
        <f>2.8*2</f>
        <v>5.6</v>
      </c>
      <c r="G704" s="18"/>
      <c r="H704" s="5"/>
      <c r="I704" s="55">
        <v>2</v>
      </c>
      <c r="J704" s="56"/>
      <c r="K704" s="30">
        <v>1.1000000000000001</v>
      </c>
      <c r="L704" s="649">
        <f t="shared" si="42"/>
        <v>0.73919999999999997</v>
      </c>
    </row>
    <row r="705" spans="2:12" ht="15.75">
      <c r="B705" s="708" t="s">
        <v>758</v>
      </c>
      <c r="C705" s="18"/>
      <c r="D705" s="48">
        <v>0.3</v>
      </c>
      <c r="E705" s="59">
        <v>0.2</v>
      </c>
      <c r="F705" s="45">
        <f>3.3*1</f>
        <v>3.3</v>
      </c>
      <c r="G705" s="18"/>
      <c r="H705" s="5"/>
      <c r="I705" s="55">
        <v>2</v>
      </c>
      <c r="J705" s="56"/>
      <c r="K705" s="30">
        <v>1.1000000000000001</v>
      </c>
      <c r="L705" s="649">
        <f t="shared" si="42"/>
        <v>0.43559999999999999</v>
      </c>
    </row>
    <row r="706" spans="2:12" ht="15.75">
      <c r="B706" s="708" t="s">
        <v>759</v>
      </c>
      <c r="C706" s="18"/>
      <c r="D706" s="48">
        <v>0.3</v>
      </c>
      <c r="E706" s="59">
        <v>0.2</v>
      </c>
      <c r="F706" s="45">
        <v>2.6</v>
      </c>
      <c r="G706" s="18"/>
      <c r="H706" s="5"/>
      <c r="I706" s="55">
        <v>2</v>
      </c>
      <c r="J706" s="56"/>
      <c r="K706" s="30">
        <v>1.1000000000000001</v>
      </c>
      <c r="L706" s="649">
        <f t="shared" si="42"/>
        <v>0.34320000000000001</v>
      </c>
    </row>
    <row r="707" spans="2:12" ht="15.75">
      <c r="B707" s="708" t="s">
        <v>760</v>
      </c>
      <c r="C707" s="18"/>
      <c r="D707" s="48">
        <v>0.4</v>
      </c>
      <c r="E707" s="59">
        <v>0.2</v>
      </c>
      <c r="F707" s="45">
        <f>+(5.59+5.5+5.5+5.27+5.2+5.2+5.2+5.3)*3</f>
        <v>128.28</v>
      </c>
      <c r="G707" s="18"/>
      <c r="H707" s="5"/>
      <c r="I707" s="55">
        <v>2</v>
      </c>
      <c r="J707" s="56"/>
      <c r="K707" s="30">
        <v>1.1000000000000001</v>
      </c>
      <c r="L707" s="649">
        <f t="shared" si="42"/>
        <v>22.577280000000005</v>
      </c>
    </row>
    <row r="708" spans="2:12" ht="15.75">
      <c r="B708" s="708" t="s">
        <v>761</v>
      </c>
      <c r="C708" s="18"/>
      <c r="D708" s="48">
        <v>0.3</v>
      </c>
      <c r="E708" s="59">
        <v>0.2</v>
      </c>
      <c r="F708" s="45">
        <v>2.04</v>
      </c>
      <c r="G708" s="18"/>
      <c r="H708" s="5"/>
      <c r="I708" s="55">
        <v>2</v>
      </c>
      <c r="J708" s="56"/>
      <c r="K708" s="30">
        <v>1.1000000000000001</v>
      </c>
      <c r="L708" s="649">
        <f t="shared" si="42"/>
        <v>0.26928000000000002</v>
      </c>
    </row>
    <row r="709" spans="2:12" ht="15.75">
      <c r="B709" s="708" t="s">
        <v>762</v>
      </c>
      <c r="C709" s="18"/>
      <c r="D709" s="48">
        <v>0.3</v>
      </c>
      <c r="E709" s="59">
        <v>0.2</v>
      </c>
      <c r="F709" s="45">
        <f>+(4.08+2)*6</f>
        <v>36.480000000000004</v>
      </c>
      <c r="G709" s="18"/>
      <c r="H709" s="5"/>
      <c r="I709" s="55">
        <v>2</v>
      </c>
      <c r="J709" s="56"/>
      <c r="K709" s="30">
        <v>1.1000000000000001</v>
      </c>
      <c r="L709" s="649">
        <f t="shared" si="42"/>
        <v>4.815360000000001</v>
      </c>
    </row>
    <row r="710" spans="2:12" ht="15.75">
      <c r="B710" s="708" t="s">
        <v>763</v>
      </c>
      <c r="C710" s="18"/>
      <c r="D710" s="48">
        <v>0.3</v>
      </c>
      <c r="E710" s="59">
        <v>0.2</v>
      </c>
      <c r="F710" s="45">
        <f>2*5*2</f>
        <v>20</v>
      </c>
      <c r="G710" s="18"/>
      <c r="H710" s="5"/>
      <c r="I710" s="55">
        <v>2</v>
      </c>
      <c r="J710" s="56"/>
      <c r="K710" s="30">
        <v>1.1000000000000001</v>
      </c>
      <c r="L710" s="649">
        <f t="shared" si="42"/>
        <v>2.64</v>
      </c>
    </row>
    <row r="711" spans="2:12" ht="15.75">
      <c r="B711" s="708" t="s">
        <v>764</v>
      </c>
      <c r="C711" s="18"/>
      <c r="D711" s="48">
        <v>0.3</v>
      </c>
      <c r="E711" s="59">
        <v>0.2</v>
      </c>
      <c r="F711" s="45">
        <f>4.05*4</f>
        <v>16.2</v>
      </c>
      <c r="G711" s="18"/>
      <c r="H711" s="5"/>
      <c r="I711" s="55">
        <v>2</v>
      </c>
      <c r="J711" s="56"/>
      <c r="K711" s="30">
        <v>1.1000000000000001</v>
      </c>
      <c r="L711" s="649">
        <f t="shared" si="42"/>
        <v>2.1384000000000003</v>
      </c>
    </row>
    <row r="712" spans="2:12" ht="15.75">
      <c r="B712" s="708" t="s">
        <v>765</v>
      </c>
      <c r="C712" s="18"/>
      <c r="D712" s="48">
        <v>0.3</v>
      </c>
      <c r="E712" s="59">
        <v>0.2</v>
      </c>
      <c r="F712" s="45">
        <f>6.08*4</f>
        <v>24.32</v>
      </c>
      <c r="G712" s="18"/>
      <c r="H712" s="5"/>
      <c r="I712" s="55">
        <v>2</v>
      </c>
      <c r="J712" s="56"/>
      <c r="K712" s="30">
        <v>1.1000000000000001</v>
      </c>
      <c r="L712" s="649">
        <f t="shared" si="42"/>
        <v>3.2102400000000002</v>
      </c>
    </row>
    <row r="713" spans="2:12" ht="15.75">
      <c r="B713" s="708" t="s">
        <v>766</v>
      </c>
      <c r="C713" s="18"/>
      <c r="D713" s="48">
        <v>0.3</v>
      </c>
      <c r="E713" s="59">
        <v>0.2</v>
      </c>
      <c r="F713" s="45">
        <v>2.04</v>
      </c>
      <c r="G713" s="18"/>
      <c r="H713" s="5"/>
      <c r="I713" s="55">
        <v>2</v>
      </c>
      <c r="J713" s="56"/>
      <c r="K713" s="30">
        <v>1.1000000000000001</v>
      </c>
      <c r="L713" s="649">
        <f t="shared" si="42"/>
        <v>0.26928000000000002</v>
      </c>
    </row>
    <row r="714" spans="2:12" ht="15.75">
      <c r="B714" s="708"/>
      <c r="C714" s="18"/>
      <c r="D714" s="48"/>
      <c r="E714" s="59"/>
      <c r="F714" s="45"/>
      <c r="G714" s="18"/>
      <c r="H714" s="5"/>
      <c r="I714" s="55"/>
      <c r="J714" s="56"/>
      <c r="K714" s="5"/>
      <c r="L714" s="649"/>
    </row>
    <row r="715" spans="2:12" ht="15.75">
      <c r="B715" s="734"/>
      <c r="C715" s="18"/>
      <c r="D715" s="18"/>
      <c r="E715" s="59"/>
      <c r="F715" s="45"/>
      <c r="G715" s="18"/>
      <c r="H715" s="5"/>
      <c r="I715" s="55"/>
      <c r="J715" s="56"/>
      <c r="K715" s="5"/>
      <c r="L715" s="649"/>
    </row>
    <row r="716" spans="2:12" ht="15.75">
      <c r="B716" s="715" t="s">
        <v>659</v>
      </c>
      <c r="C716" s="18"/>
      <c r="D716" s="18"/>
      <c r="E716" s="59"/>
      <c r="F716" s="45"/>
      <c r="G716" s="18"/>
      <c r="H716" s="5"/>
      <c r="I716" s="55"/>
      <c r="J716" s="56"/>
      <c r="K716" s="5"/>
      <c r="L716" s="649"/>
    </row>
    <row r="717" spans="2:12" ht="15.75">
      <c r="B717" s="734" t="s">
        <v>660</v>
      </c>
      <c r="C717" s="18"/>
      <c r="D717" s="990">
        <v>10</v>
      </c>
      <c r="E717" s="990">
        <v>1</v>
      </c>
      <c r="F717" s="993">
        <v>3.5</v>
      </c>
      <c r="G717" s="18"/>
      <c r="H717" s="5"/>
      <c r="I717" s="996">
        <v>13</v>
      </c>
      <c r="J717" s="56"/>
      <c r="K717" s="30">
        <v>1.1000000000000001</v>
      </c>
      <c r="L717" s="999">
        <f t="shared" ref="L717" si="43">PRODUCT(C717:K717)</f>
        <v>500.50000000000006</v>
      </c>
    </row>
    <row r="718" spans="2:12" ht="15.75">
      <c r="B718" s="734" t="s">
        <v>440</v>
      </c>
      <c r="C718" s="18"/>
      <c r="D718" s="991"/>
      <c r="E718" s="991"/>
      <c r="F718" s="994"/>
      <c r="G718" s="18"/>
      <c r="H718" s="5"/>
      <c r="I718" s="997"/>
      <c r="J718" s="56"/>
      <c r="K718" s="30">
        <v>1.1000000000000001</v>
      </c>
      <c r="L718" s="1000"/>
    </row>
    <row r="719" spans="2:12" ht="15.75">
      <c r="B719" s="734" t="s">
        <v>441</v>
      </c>
      <c r="C719" s="18"/>
      <c r="D719" s="991"/>
      <c r="E719" s="991"/>
      <c r="F719" s="994"/>
      <c r="G719" s="18"/>
      <c r="H719" s="5"/>
      <c r="I719" s="997"/>
      <c r="J719" s="56"/>
      <c r="K719" s="30">
        <v>1.1000000000000001</v>
      </c>
      <c r="L719" s="1000"/>
    </row>
    <row r="720" spans="2:12" ht="15.75">
      <c r="B720" s="734" t="s">
        <v>465</v>
      </c>
      <c r="C720" s="18"/>
      <c r="D720" s="991"/>
      <c r="E720" s="991"/>
      <c r="F720" s="994"/>
      <c r="G720" s="18"/>
      <c r="H720" s="5"/>
      <c r="I720" s="997"/>
      <c r="J720" s="56"/>
      <c r="K720" s="30">
        <v>1.1000000000000001</v>
      </c>
      <c r="L720" s="1000"/>
    </row>
    <row r="721" spans="2:12" ht="15.75">
      <c r="B721" s="734" t="s">
        <v>466</v>
      </c>
      <c r="C721" s="18"/>
      <c r="D721" s="991"/>
      <c r="E721" s="991"/>
      <c r="F721" s="994"/>
      <c r="G721" s="18"/>
      <c r="H721" s="5"/>
      <c r="I721" s="997"/>
      <c r="J721" s="56"/>
      <c r="K721" s="30">
        <v>1.1000000000000001</v>
      </c>
      <c r="L721" s="1000"/>
    </row>
    <row r="722" spans="2:12" ht="15.75">
      <c r="B722" s="734" t="s">
        <v>661</v>
      </c>
      <c r="C722" s="18"/>
      <c r="D722" s="992"/>
      <c r="E722" s="992"/>
      <c r="F722" s="995"/>
      <c r="G722" s="18"/>
      <c r="H722" s="5"/>
      <c r="I722" s="998"/>
      <c r="J722" s="56"/>
      <c r="K722" s="30">
        <v>1.1000000000000001</v>
      </c>
      <c r="L722" s="1001"/>
    </row>
    <row r="723" spans="2:12" ht="15.75">
      <c r="B723" s="708" t="s">
        <v>767</v>
      </c>
      <c r="C723" s="18"/>
      <c r="D723" s="48">
        <v>0.4</v>
      </c>
      <c r="E723" s="59">
        <v>0.2</v>
      </c>
      <c r="F723" s="45">
        <f>5.47+5.6+4.32+4.45+6.413+6.413+6.375+3.99+4.32+5.6+5.47</f>
        <v>58.420999999999999</v>
      </c>
      <c r="G723" s="18"/>
      <c r="H723" s="5"/>
      <c r="I723" s="55"/>
      <c r="J723" s="56"/>
      <c r="K723" s="30">
        <v>1.1000000000000001</v>
      </c>
      <c r="L723" s="649">
        <f>PRODUCT(C723:K723)</f>
        <v>5.1410480000000014</v>
      </c>
    </row>
    <row r="724" spans="2:12" ht="15.75">
      <c r="B724" s="708" t="s">
        <v>768</v>
      </c>
      <c r="C724" s="18"/>
      <c r="D724" s="48">
        <v>0.3</v>
      </c>
      <c r="E724" s="59">
        <v>0.2</v>
      </c>
      <c r="F724" s="45">
        <v>1.92</v>
      </c>
      <c r="G724" s="18"/>
      <c r="H724" s="5"/>
      <c r="I724" s="55"/>
      <c r="J724" s="56"/>
      <c r="K724" s="30">
        <v>1.1000000000000001</v>
      </c>
      <c r="L724" s="649">
        <f t="shared" ref="L724:L725" si="44">PRODUCT(C724:K724)</f>
        <v>0.12672</v>
      </c>
    </row>
    <row r="725" spans="2:12" ht="15.75">
      <c r="B725" s="708" t="s">
        <v>769</v>
      </c>
      <c r="C725" s="18"/>
      <c r="D725" s="48">
        <v>0.4</v>
      </c>
      <c r="E725" s="59">
        <v>0.2</v>
      </c>
      <c r="F725" s="45">
        <f>5.47+5.6+4.32+4.45+4.208+4.002+4.102+3.79+4.25+5.6+5.47</f>
        <v>51.262</v>
      </c>
      <c r="G725" s="18"/>
      <c r="H725" s="5"/>
      <c r="I725" s="55"/>
      <c r="J725" s="56"/>
      <c r="K725" s="30">
        <v>1.1000000000000001</v>
      </c>
      <c r="L725" s="649">
        <f t="shared" si="44"/>
        <v>4.5110560000000008</v>
      </c>
    </row>
    <row r="726" spans="2:12" ht="15.75">
      <c r="B726" s="708" t="s">
        <v>488</v>
      </c>
      <c r="C726" s="18"/>
      <c r="D726" s="48">
        <v>0.4</v>
      </c>
      <c r="E726" s="59">
        <v>0.2</v>
      </c>
      <c r="F726" s="45">
        <f>5.47+5.6+4.32+4.45+2.766+2.766+2.587+3.99+4.32+5.6+5.47</f>
        <v>47.338999999999999</v>
      </c>
      <c r="G726" s="18"/>
      <c r="H726" s="5"/>
      <c r="I726" s="55"/>
      <c r="J726" s="56"/>
      <c r="K726" s="30">
        <v>1.1000000000000001</v>
      </c>
      <c r="L726" s="649">
        <f>PRODUCT(C726:K726)</f>
        <v>4.1658320000000009</v>
      </c>
    </row>
    <row r="727" spans="2:12" ht="15.75">
      <c r="B727" s="708" t="s">
        <v>491</v>
      </c>
      <c r="C727" s="18"/>
      <c r="D727" s="48">
        <v>0.3</v>
      </c>
      <c r="E727" s="59">
        <v>0.2</v>
      </c>
      <c r="F727" s="45">
        <v>2.2999999999999998</v>
      </c>
      <c r="G727" s="18"/>
      <c r="H727" s="5"/>
      <c r="I727" s="55"/>
      <c r="J727" s="56"/>
      <c r="K727" s="30">
        <v>1.1000000000000001</v>
      </c>
      <c r="L727" s="649">
        <f t="shared" ref="L727:L741" si="45">PRODUCT(C727:K727)</f>
        <v>0.15179999999999999</v>
      </c>
    </row>
    <row r="728" spans="2:12" ht="15.75">
      <c r="B728" s="708" t="s">
        <v>489</v>
      </c>
      <c r="C728" s="18"/>
      <c r="D728" s="48">
        <v>0.3</v>
      </c>
      <c r="E728" s="59">
        <v>0.2</v>
      </c>
      <c r="F728" s="45">
        <v>2.6</v>
      </c>
      <c r="G728" s="18"/>
      <c r="H728" s="5"/>
      <c r="I728" s="55"/>
      <c r="J728" s="56"/>
      <c r="K728" s="30">
        <v>1.1000000000000001</v>
      </c>
      <c r="L728" s="649">
        <f t="shared" si="45"/>
        <v>0.1716</v>
      </c>
    </row>
    <row r="729" spans="2:12" ht="15.75">
      <c r="B729" s="708" t="s">
        <v>490</v>
      </c>
      <c r="C729" s="18"/>
      <c r="D729" s="48">
        <v>0.3</v>
      </c>
      <c r="E729" s="59">
        <v>0.2</v>
      </c>
      <c r="F729" s="45">
        <v>2.5</v>
      </c>
      <c r="G729" s="18"/>
      <c r="H729" s="5"/>
      <c r="I729" s="55"/>
      <c r="J729" s="56"/>
      <c r="K729" s="30">
        <v>1.1000000000000001</v>
      </c>
      <c r="L729" s="649">
        <f t="shared" si="45"/>
        <v>0.16500000000000001</v>
      </c>
    </row>
    <row r="730" spans="2:12" ht="15.75">
      <c r="B730" s="708" t="s">
        <v>492</v>
      </c>
      <c r="C730" s="18"/>
      <c r="D730" s="48">
        <v>0.3</v>
      </c>
      <c r="E730" s="59">
        <v>0.2</v>
      </c>
      <c r="F730" s="45">
        <f>4.08*4</f>
        <v>16.32</v>
      </c>
      <c r="G730" s="18"/>
      <c r="H730" s="5"/>
      <c r="I730" s="55"/>
      <c r="J730" s="56"/>
      <c r="K730" s="30">
        <v>1.1000000000000001</v>
      </c>
      <c r="L730" s="649">
        <f t="shared" si="45"/>
        <v>1.0771200000000001</v>
      </c>
    </row>
    <row r="731" spans="2:12" ht="15.75">
      <c r="B731" s="708" t="s">
        <v>495</v>
      </c>
      <c r="C731" s="18"/>
      <c r="D731" s="48">
        <v>0.3</v>
      </c>
      <c r="E731" s="59">
        <v>0.2</v>
      </c>
      <c r="F731" s="45">
        <f>2*2</f>
        <v>4</v>
      </c>
      <c r="G731" s="18"/>
      <c r="H731" s="5"/>
      <c r="I731" s="55"/>
      <c r="J731" s="56"/>
      <c r="K731" s="30">
        <v>1.1000000000000001</v>
      </c>
      <c r="L731" s="649">
        <f t="shared" si="45"/>
        <v>0.26400000000000001</v>
      </c>
    </row>
    <row r="732" spans="2:12" ht="15.75">
      <c r="B732" s="708" t="s">
        <v>493</v>
      </c>
      <c r="C732" s="18"/>
      <c r="D732" s="48">
        <v>0.3</v>
      </c>
      <c r="E732" s="59">
        <v>0.2</v>
      </c>
      <c r="F732" s="45">
        <f>+(4.53+2.4)*2</f>
        <v>13.86</v>
      </c>
      <c r="G732" s="18"/>
      <c r="H732" s="5"/>
      <c r="I732" s="55"/>
      <c r="J732" s="56"/>
      <c r="K732" s="30">
        <v>1.1000000000000001</v>
      </c>
      <c r="L732" s="649">
        <f t="shared" si="45"/>
        <v>0.91475999999999991</v>
      </c>
    </row>
    <row r="733" spans="2:12" ht="15.75">
      <c r="B733" s="708" t="s">
        <v>494</v>
      </c>
      <c r="C733" s="18"/>
      <c r="D733" s="48">
        <v>0.3</v>
      </c>
      <c r="E733" s="59">
        <v>0.2</v>
      </c>
      <c r="F733" s="45">
        <f>2.04+2</f>
        <v>4.04</v>
      </c>
      <c r="G733" s="18"/>
      <c r="H733" s="5"/>
      <c r="I733" s="55"/>
      <c r="J733" s="56"/>
      <c r="K733" s="30">
        <v>1.1000000000000001</v>
      </c>
      <c r="L733" s="649">
        <f t="shared" si="45"/>
        <v>0.26664000000000004</v>
      </c>
    </row>
    <row r="734" spans="2:12" ht="15.75">
      <c r="B734" s="708" t="s">
        <v>770</v>
      </c>
      <c r="C734" s="18"/>
      <c r="D734" s="48">
        <v>0.3</v>
      </c>
      <c r="E734" s="59">
        <v>0.2</v>
      </c>
      <c r="F734" s="45">
        <f>4+8*1</f>
        <v>12</v>
      </c>
      <c r="G734" s="18"/>
      <c r="H734" s="5"/>
      <c r="I734" s="55"/>
      <c r="J734" s="56"/>
      <c r="K734" s="30">
        <v>1.1000000000000001</v>
      </c>
      <c r="L734" s="649">
        <f t="shared" si="45"/>
        <v>0.79200000000000004</v>
      </c>
    </row>
    <row r="735" spans="2:12" ht="15.75">
      <c r="B735" s="708" t="s">
        <v>771</v>
      </c>
      <c r="C735" s="18"/>
      <c r="D735" s="48">
        <v>0.3</v>
      </c>
      <c r="E735" s="59">
        <v>0.2</v>
      </c>
      <c r="F735" s="45">
        <f>+(4.08+2)*3</f>
        <v>18.240000000000002</v>
      </c>
      <c r="G735" s="18"/>
      <c r="H735" s="5"/>
      <c r="I735" s="55"/>
      <c r="J735" s="56"/>
      <c r="K735" s="30">
        <v>1.1000000000000001</v>
      </c>
      <c r="L735" s="649">
        <f t="shared" si="45"/>
        <v>1.2038400000000002</v>
      </c>
    </row>
    <row r="736" spans="2:12" ht="15.75">
      <c r="B736" s="708" t="s">
        <v>772</v>
      </c>
      <c r="C736" s="18"/>
      <c r="D736" s="48">
        <v>0.3</v>
      </c>
      <c r="E736" s="59">
        <v>0.2</v>
      </c>
      <c r="F736" s="45">
        <f>+(4.08+2)*2</f>
        <v>12.16</v>
      </c>
      <c r="G736" s="18"/>
      <c r="H736" s="5"/>
      <c r="I736" s="55"/>
      <c r="J736" s="56"/>
      <c r="K736" s="30">
        <v>1.1000000000000001</v>
      </c>
      <c r="L736" s="649">
        <f t="shared" si="45"/>
        <v>0.80256000000000005</v>
      </c>
    </row>
    <row r="737" spans="2:12" ht="15.75">
      <c r="B737" s="708" t="s">
        <v>773</v>
      </c>
      <c r="C737" s="18"/>
      <c r="D737" s="48">
        <v>0.3</v>
      </c>
      <c r="E737" s="59">
        <v>0.2</v>
      </c>
      <c r="F737" s="45">
        <v>6.08</v>
      </c>
      <c r="G737" s="18"/>
      <c r="H737" s="5"/>
      <c r="I737" s="55"/>
      <c r="J737" s="56"/>
      <c r="K737" s="30">
        <v>1.1000000000000001</v>
      </c>
      <c r="L737" s="649">
        <f t="shared" si="45"/>
        <v>0.40128000000000003</v>
      </c>
    </row>
    <row r="738" spans="2:12" ht="15.75">
      <c r="B738" s="708" t="s">
        <v>774</v>
      </c>
      <c r="C738" s="18"/>
      <c r="D738" s="48">
        <v>0.3</v>
      </c>
      <c r="E738" s="59">
        <v>0.2</v>
      </c>
      <c r="F738" s="45">
        <v>6.08</v>
      </c>
      <c r="G738" s="18"/>
      <c r="H738" s="5"/>
      <c r="I738" s="55"/>
      <c r="J738" s="56"/>
      <c r="K738" s="30">
        <v>1.1000000000000001</v>
      </c>
      <c r="L738" s="649">
        <f t="shared" si="45"/>
        <v>0.40128000000000003</v>
      </c>
    </row>
    <row r="739" spans="2:12" ht="15.75">
      <c r="B739" s="708" t="s">
        <v>775</v>
      </c>
      <c r="C739" s="18"/>
      <c r="D739" s="48">
        <v>0.3</v>
      </c>
      <c r="E739" s="59">
        <v>0.2</v>
      </c>
      <c r="F739" s="45">
        <v>4.08</v>
      </c>
      <c r="G739" s="18"/>
      <c r="H739" s="5"/>
      <c r="I739" s="55"/>
      <c r="J739" s="56"/>
      <c r="K739" s="30">
        <v>1.1000000000000001</v>
      </c>
      <c r="L739" s="649">
        <f t="shared" si="45"/>
        <v>0.26928000000000002</v>
      </c>
    </row>
    <row r="740" spans="2:12" ht="15.75">
      <c r="B740" s="708" t="s">
        <v>776</v>
      </c>
      <c r="C740" s="18"/>
      <c r="D740" s="48">
        <v>0.3</v>
      </c>
      <c r="E740" s="59">
        <v>0.2</v>
      </c>
      <c r="F740" s="45">
        <v>4.04</v>
      </c>
      <c r="G740" s="18"/>
      <c r="H740" s="5"/>
      <c r="I740" s="55"/>
      <c r="J740" s="56"/>
      <c r="K740" s="30">
        <v>1.1000000000000001</v>
      </c>
      <c r="L740" s="649">
        <f t="shared" si="45"/>
        <v>0.26664000000000004</v>
      </c>
    </row>
    <row r="741" spans="2:12" ht="15.75">
      <c r="B741" s="708" t="s">
        <v>777</v>
      </c>
      <c r="C741" s="18"/>
      <c r="D741" s="48">
        <v>0.3</v>
      </c>
      <c r="E741" s="59">
        <v>0.2</v>
      </c>
      <c r="F741" s="45">
        <v>2</v>
      </c>
      <c r="G741" s="18"/>
      <c r="H741" s="5"/>
      <c r="I741" s="55"/>
      <c r="J741" s="56"/>
      <c r="K741" s="30">
        <v>1.1000000000000001</v>
      </c>
      <c r="L741" s="649">
        <f t="shared" si="45"/>
        <v>0.13200000000000001</v>
      </c>
    </row>
    <row r="742" spans="2:12" ht="15.75">
      <c r="B742" s="708" t="s">
        <v>778</v>
      </c>
      <c r="C742" s="18"/>
      <c r="D742" s="48">
        <v>0.3</v>
      </c>
      <c r="E742" s="59">
        <v>0.2</v>
      </c>
      <c r="F742" s="45">
        <v>4.0780000000000003</v>
      </c>
      <c r="G742" s="18"/>
      <c r="H742" s="5"/>
      <c r="I742" s="55"/>
      <c r="J742" s="56"/>
      <c r="K742" s="30">
        <v>1.1000000000000001</v>
      </c>
      <c r="L742" s="649">
        <f>PRODUCT(C742:K742)</f>
        <v>0.26914800000000005</v>
      </c>
    </row>
    <row r="743" spans="2:12" ht="15.75">
      <c r="B743" s="708" t="s">
        <v>779</v>
      </c>
      <c r="C743" s="18"/>
      <c r="D743" s="48">
        <v>0.3</v>
      </c>
      <c r="E743" s="59">
        <v>0.2</v>
      </c>
      <c r="F743" s="45">
        <v>2.0310000000000001</v>
      </c>
      <c r="G743" s="18"/>
      <c r="H743" s="5"/>
      <c r="I743" s="55"/>
      <c r="J743" s="56"/>
      <c r="K743" s="30">
        <v>1.1000000000000001</v>
      </c>
      <c r="L743" s="649">
        <f t="shared" ref="L743:L749" si="46">PRODUCT(C743:K743)</f>
        <v>0.13404600000000003</v>
      </c>
    </row>
    <row r="744" spans="2:12" ht="15.75">
      <c r="B744" s="734"/>
      <c r="C744" s="18"/>
      <c r="D744" s="48"/>
      <c r="E744" s="59"/>
      <c r="F744" s="45"/>
      <c r="G744" s="18"/>
      <c r="H744" s="5"/>
      <c r="I744" s="55"/>
      <c r="J744" s="56"/>
      <c r="K744" s="5"/>
      <c r="L744" s="649"/>
    </row>
    <row r="745" spans="2:12" ht="15.75">
      <c r="B745" s="715" t="s">
        <v>594</v>
      </c>
      <c r="C745" s="18"/>
      <c r="D745" s="48"/>
      <c r="E745" s="59"/>
      <c r="F745" s="45"/>
      <c r="G745" s="18"/>
      <c r="H745" s="5"/>
      <c r="I745" s="55"/>
      <c r="J745" s="56"/>
      <c r="K745" s="5"/>
      <c r="L745" s="649"/>
    </row>
    <row r="746" spans="2:12" ht="15.75">
      <c r="B746" s="734" t="s">
        <v>702</v>
      </c>
      <c r="C746" s="18"/>
      <c r="D746" s="48">
        <v>2.4</v>
      </c>
      <c r="E746" s="59">
        <v>1</v>
      </c>
      <c r="F746" s="45">
        <v>6.3</v>
      </c>
      <c r="G746" s="18"/>
      <c r="H746" s="5"/>
      <c r="I746" s="56">
        <v>2</v>
      </c>
      <c r="J746" s="741">
        <v>2</v>
      </c>
      <c r="K746" s="30">
        <v>1.1000000000000001</v>
      </c>
      <c r="L746" s="649">
        <f>PRODUCT(C746:K746)</f>
        <v>66.528000000000006</v>
      </c>
    </row>
    <row r="747" spans="2:12" ht="15.75">
      <c r="B747" s="734" t="s">
        <v>703</v>
      </c>
      <c r="C747" s="18"/>
      <c r="D747" s="48">
        <v>3.1</v>
      </c>
      <c r="E747" s="59">
        <v>1</v>
      </c>
      <c r="F747" s="45">
        <v>6.7</v>
      </c>
      <c r="G747" s="18"/>
      <c r="H747" s="5"/>
      <c r="I747" s="56">
        <v>1</v>
      </c>
      <c r="J747" s="741">
        <v>2</v>
      </c>
      <c r="K747" s="30">
        <v>1.1000000000000001</v>
      </c>
      <c r="L747" s="649">
        <f>PRODUCT(C747:K747)</f>
        <v>45.694000000000003</v>
      </c>
    </row>
    <row r="748" spans="2:12" ht="15.75">
      <c r="B748" s="734" t="s">
        <v>704</v>
      </c>
      <c r="C748" s="18"/>
      <c r="D748" s="48">
        <v>3.25</v>
      </c>
      <c r="E748" s="59">
        <v>1</v>
      </c>
      <c r="F748" s="45">
        <v>7.13</v>
      </c>
      <c r="G748" s="18"/>
      <c r="H748" s="5"/>
      <c r="I748" s="56">
        <v>1</v>
      </c>
      <c r="J748" s="741">
        <v>2</v>
      </c>
      <c r="K748" s="30">
        <v>1.1000000000000001</v>
      </c>
      <c r="L748" s="649">
        <f>PRODUCT(C748:K748)</f>
        <v>50.979500000000002</v>
      </c>
    </row>
    <row r="749" spans="2:12" ht="15.75">
      <c r="B749" s="708" t="s">
        <v>780</v>
      </c>
      <c r="C749" s="18"/>
      <c r="D749" s="48">
        <v>0.3</v>
      </c>
      <c r="E749" s="59">
        <v>0.2</v>
      </c>
      <c r="F749" s="45">
        <f>+(6.78+4.26+7.04)*2</f>
        <v>36.159999999999997</v>
      </c>
      <c r="G749" s="18"/>
      <c r="H749" s="5"/>
      <c r="I749" s="56">
        <v>2</v>
      </c>
      <c r="J749" s="741">
        <v>2</v>
      </c>
      <c r="K749" s="30">
        <v>1.1000000000000001</v>
      </c>
      <c r="L749" s="649">
        <f t="shared" si="46"/>
        <v>9.5462399999999992</v>
      </c>
    </row>
    <row r="750" spans="2:12" ht="15.75">
      <c r="B750" s="708" t="s">
        <v>781</v>
      </c>
      <c r="C750" s="18"/>
      <c r="D750" s="48">
        <v>0.3</v>
      </c>
      <c r="E750" s="59">
        <v>0.2</v>
      </c>
      <c r="F750" s="45">
        <f>3.68*4</f>
        <v>14.72</v>
      </c>
      <c r="G750" s="18"/>
      <c r="H750" s="5"/>
      <c r="I750" s="56">
        <v>2</v>
      </c>
      <c r="J750" s="741">
        <v>2</v>
      </c>
      <c r="K750" s="30">
        <v>1.1000000000000001</v>
      </c>
      <c r="L750" s="649">
        <f>PRODUCT(C750:K750)</f>
        <v>3.8860800000000002</v>
      </c>
    </row>
    <row r="751" spans="2:12" ht="15.75">
      <c r="B751" s="734"/>
      <c r="C751" s="18"/>
      <c r="D751" s="48"/>
      <c r="E751" s="59"/>
      <c r="F751" s="45"/>
      <c r="G751" s="18"/>
      <c r="H751" s="5"/>
      <c r="I751" s="55"/>
      <c r="J751" s="56"/>
      <c r="K751" s="5"/>
      <c r="L751" s="649"/>
    </row>
    <row r="752" spans="2:12" ht="15">
      <c r="B752" s="734" t="s">
        <v>481</v>
      </c>
      <c r="C752" s="19"/>
      <c r="D752" s="19">
        <v>0.5</v>
      </c>
      <c r="E752" s="210">
        <v>2</v>
      </c>
      <c r="F752" s="47">
        <v>33.799999999999997</v>
      </c>
      <c r="G752" s="57"/>
      <c r="H752" s="21"/>
      <c r="I752" s="55"/>
      <c r="J752" s="56"/>
      <c r="K752" s="30">
        <v>1.1000000000000001</v>
      </c>
      <c r="L752" s="649">
        <f>PRODUCT(C752:K752)</f>
        <v>37.18</v>
      </c>
    </row>
    <row r="753" spans="2:12" ht="15">
      <c r="B753" s="734" t="s">
        <v>931</v>
      </c>
      <c r="C753" s="19">
        <v>2.5</v>
      </c>
      <c r="D753" s="19"/>
      <c r="E753" s="210"/>
      <c r="F753" s="47">
        <v>15.2</v>
      </c>
      <c r="G753" s="57"/>
      <c r="H753" s="21"/>
      <c r="I753" s="55"/>
      <c r="J753" s="56">
        <v>2</v>
      </c>
      <c r="K753" s="30">
        <v>1.1000000000000001</v>
      </c>
      <c r="L753" s="649">
        <f>PRODUCT(C753:K753)</f>
        <v>83.600000000000009</v>
      </c>
    </row>
    <row r="754" spans="2:12" ht="15">
      <c r="B754" s="734" t="s">
        <v>933</v>
      </c>
      <c r="C754" s="48">
        <f>2.65*0.9</f>
        <v>2.3849999999999998</v>
      </c>
      <c r="D754" s="137"/>
      <c r="E754" s="137"/>
      <c r="F754" s="45">
        <v>40</v>
      </c>
      <c r="G754" s="39"/>
      <c r="H754" s="39"/>
      <c r="I754" s="39"/>
      <c r="J754" s="56"/>
      <c r="K754" s="30">
        <v>1.1000000000000001</v>
      </c>
      <c r="L754" s="649">
        <f>PRODUCT(C754:K754)</f>
        <v>104.94</v>
      </c>
    </row>
    <row r="755" spans="2:12" ht="16.5">
      <c r="B755" s="655"/>
      <c r="C755" s="48">
        <f>0.55*0.4</f>
        <v>0.22000000000000003</v>
      </c>
      <c r="D755" s="20"/>
      <c r="E755" s="20"/>
      <c r="F755" s="45">
        <v>40</v>
      </c>
      <c r="G755" s="20"/>
      <c r="H755" s="21"/>
      <c r="I755" s="41"/>
      <c r="J755" s="46"/>
      <c r="K755" s="30">
        <v>1.1000000000000001</v>
      </c>
      <c r="L755" s="649">
        <f>PRODUCT(C755:K755)</f>
        <v>9.6800000000000015</v>
      </c>
    </row>
    <row r="756" spans="2:12" ht="30">
      <c r="B756" s="731" t="s">
        <v>962</v>
      </c>
      <c r="C756" s="19">
        <v>112</v>
      </c>
      <c r="D756" s="20"/>
      <c r="E756" s="20">
        <v>0.5</v>
      </c>
      <c r="F756" s="45"/>
      <c r="G756" s="20"/>
      <c r="H756" s="21"/>
      <c r="I756" s="41"/>
      <c r="J756" s="46"/>
      <c r="K756" s="30">
        <v>1.1000000000000001</v>
      </c>
      <c r="L756" s="649">
        <f>PRODUCT(C756:K756)</f>
        <v>61.600000000000009</v>
      </c>
    </row>
    <row r="757" spans="2:12" ht="16.5">
      <c r="B757" s="731"/>
      <c r="C757" s="19"/>
      <c r="D757" s="20"/>
      <c r="E757" s="20"/>
      <c r="F757" s="45"/>
      <c r="G757" s="20"/>
      <c r="H757" s="21"/>
      <c r="I757" s="41"/>
      <c r="J757" s="46"/>
      <c r="K757" s="17"/>
      <c r="L757" s="649"/>
    </row>
    <row r="758" spans="2:12" ht="15.75">
      <c r="B758" s="662" t="s">
        <v>975</v>
      </c>
      <c r="C758" s="19"/>
      <c r="D758" s="19"/>
      <c r="E758" s="48"/>
      <c r="F758" s="47"/>
      <c r="G758" s="57"/>
      <c r="H758" s="21"/>
      <c r="I758" s="55"/>
      <c r="J758" s="56"/>
      <c r="K758" s="354"/>
      <c r="L758" s="649"/>
    </row>
    <row r="759" spans="2:12" ht="16.5">
      <c r="B759" s="662" t="s">
        <v>666</v>
      </c>
      <c r="C759" s="269"/>
      <c r="D759" s="42">
        <v>0.25</v>
      </c>
      <c r="E759" s="42"/>
      <c r="F759" s="43">
        <v>3</v>
      </c>
      <c r="G759" s="270"/>
      <c r="H759" s="271"/>
      <c r="I759" s="35">
        <v>2</v>
      </c>
      <c r="J759" s="22">
        <v>4</v>
      </c>
      <c r="K759" s="17">
        <v>1.1000000000000001</v>
      </c>
      <c r="L759" s="649">
        <f t="shared" ref="L759:L760" si="47">PRODUCT(C759:K759)</f>
        <v>6.6000000000000005</v>
      </c>
    </row>
    <row r="760" spans="2:12" ht="16.5">
      <c r="B760" s="662" t="s">
        <v>667</v>
      </c>
      <c r="C760" s="269"/>
      <c r="D760" s="42">
        <v>0.25</v>
      </c>
      <c r="E760" s="42"/>
      <c r="F760" s="43">
        <v>3</v>
      </c>
      <c r="G760" s="270"/>
      <c r="H760" s="271"/>
      <c r="I760" s="35">
        <v>2</v>
      </c>
      <c r="J760" s="22">
        <v>4</v>
      </c>
      <c r="K760" s="17">
        <v>1.1000000000000001</v>
      </c>
      <c r="L760" s="649">
        <f t="shared" si="47"/>
        <v>6.6000000000000005</v>
      </c>
    </row>
    <row r="761" spans="2:12">
      <c r="B761" s="651"/>
      <c r="L761" s="652"/>
    </row>
    <row r="762" spans="2:12" ht="15.75">
      <c r="B762" s="638" t="s">
        <v>398</v>
      </c>
      <c r="C762" s="8">
        <v>3</v>
      </c>
      <c r="D762" s="1008" t="s">
        <v>1028</v>
      </c>
      <c r="E762" s="1009"/>
      <c r="F762" s="1009"/>
      <c r="G762" s="1009"/>
      <c r="H762" s="1009"/>
      <c r="I762" s="1009"/>
      <c r="J762" s="1009"/>
      <c r="K762" s="1009"/>
      <c r="L762" s="1010"/>
    </row>
    <row r="763" spans="2:12" ht="15">
      <c r="B763" s="1005"/>
      <c r="C763" s="1006"/>
      <c r="D763" s="1006"/>
      <c r="E763" s="1006"/>
      <c r="F763" s="1006"/>
      <c r="G763" s="1006"/>
      <c r="H763" s="1006"/>
      <c r="I763" s="1006"/>
      <c r="J763" s="1006"/>
      <c r="K763" s="1006"/>
      <c r="L763" s="1007"/>
    </row>
    <row r="764" spans="2:12" ht="63">
      <c r="B764" s="642" t="s">
        <v>399</v>
      </c>
      <c r="C764" s="11">
        <f>+'PROPUESTA ECONOMICA(Proponente)'!C45</f>
        <v>3.5</v>
      </c>
      <c r="D764" s="12" t="str">
        <f>+VLOOKUP('MEMORIAS DE CANTIDADES'!C764,'PROPUESTA ECONOMICA(Proponente)'!$C$21:$H$310,5,FALSE)</f>
        <v>CONCRETO VIGAS  CIMIENTOS, ZAPATAS Y AMARRES: Concreto premezclado de 4000 PSI para Viga Cimiento y zapatas  (incluye suministro e instalación)</v>
      </c>
      <c r="E764" s="13"/>
      <c r="F764" s="12"/>
      <c r="G764" s="12"/>
      <c r="H764" s="12"/>
      <c r="I764" s="11" t="s">
        <v>400</v>
      </c>
      <c r="J764" s="12" t="str">
        <f>+VLOOKUP('MEMORIAS DE CANTIDADES'!C764,'PROPUESTA ECONOMICA(Proponente)'!$C$21:$H$310,6,FALSE)</f>
        <v>m3</v>
      </c>
      <c r="K764" s="11" t="s">
        <v>401</v>
      </c>
      <c r="L764" s="643">
        <f>SUM(L765:L838)</f>
        <v>459.86619999999999</v>
      </c>
    </row>
    <row r="765" spans="2:12" ht="15">
      <c r="B765" s="644"/>
      <c r="C765" s="16"/>
      <c r="D765" s="15"/>
      <c r="E765" s="15"/>
      <c r="F765" s="15"/>
      <c r="G765" s="15"/>
      <c r="H765" s="15"/>
      <c r="I765" s="15"/>
      <c r="J765" s="15"/>
      <c r="K765" s="17"/>
      <c r="L765" s="645"/>
    </row>
    <row r="766" spans="2:12" ht="47.25">
      <c r="B766" s="646" t="s">
        <v>402</v>
      </c>
      <c r="C766" s="18" t="s">
        <v>403</v>
      </c>
      <c r="D766" s="18" t="s">
        <v>404</v>
      </c>
      <c r="E766" s="18" t="s">
        <v>405</v>
      </c>
      <c r="F766" s="18" t="s">
        <v>406</v>
      </c>
      <c r="G766" s="18" t="s">
        <v>407</v>
      </c>
      <c r="H766" s="5" t="s">
        <v>408</v>
      </c>
      <c r="I766" s="18" t="s">
        <v>409</v>
      </c>
      <c r="J766" s="5" t="s">
        <v>410</v>
      </c>
      <c r="K766" s="5" t="s">
        <v>411</v>
      </c>
      <c r="L766" s="647" t="s">
        <v>412</v>
      </c>
    </row>
    <row r="767" spans="2:12" ht="16.5">
      <c r="B767" s="658" t="s">
        <v>438</v>
      </c>
      <c r="C767" s="18"/>
      <c r="D767" s="18"/>
      <c r="E767" s="18"/>
      <c r="G767" s="18"/>
      <c r="H767" s="5"/>
      <c r="I767" s="41"/>
      <c r="J767" s="46"/>
      <c r="K767" s="5"/>
      <c r="L767" s="649"/>
    </row>
    <row r="768" spans="2:12" ht="16.5">
      <c r="B768" s="708" t="s">
        <v>717</v>
      </c>
      <c r="C768" s="48"/>
      <c r="D768" s="48">
        <v>2.6</v>
      </c>
      <c r="E768" s="48">
        <v>0.45</v>
      </c>
      <c r="F768" s="45">
        <v>3.4</v>
      </c>
      <c r="G768" s="48"/>
      <c r="H768" s="30"/>
      <c r="I768" s="41">
        <v>6</v>
      </c>
      <c r="J768" s="56">
        <v>2</v>
      </c>
      <c r="K768" s="30"/>
      <c r="L768" s="649">
        <f t="shared" ref="L768:L773" si="48">PRODUCT(C768:K768)</f>
        <v>47.736000000000004</v>
      </c>
    </row>
    <row r="769" spans="2:12" ht="16.5">
      <c r="B769" s="708" t="s">
        <v>718</v>
      </c>
      <c r="C769" s="48"/>
      <c r="D769" s="48">
        <v>1.5</v>
      </c>
      <c r="E769" s="48">
        <v>0.45</v>
      </c>
      <c r="F769" s="45">
        <v>1.5</v>
      </c>
      <c r="G769" s="48"/>
      <c r="H769" s="30"/>
      <c r="I769" s="41">
        <v>2</v>
      </c>
      <c r="J769" s="56">
        <v>2</v>
      </c>
      <c r="K769" s="30"/>
      <c r="L769" s="649">
        <f t="shared" si="48"/>
        <v>4.0500000000000007</v>
      </c>
    </row>
    <row r="770" spans="2:12" ht="16.5">
      <c r="B770" s="708" t="s">
        <v>750</v>
      </c>
      <c r="C770" s="48"/>
      <c r="D770" s="48">
        <v>0.4</v>
      </c>
      <c r="E770" s="48">
        <v>0.4</v>
      </c>
      <c r="F770" s="45">
        <f>10.09*2+6.35*2+4.26*2+1.15*2</f>
        <v>43.699999999999989</v>
      </c>
      <c r="G770" s="48"/>
      <c r="H770" s="30"/>
      <c r="I770" s="41"/>
      <c r="J770" s="56">
        <v>2</v>
      </c>
      <c r="K770" s="30"/>
      <c r="L770" s="649">
        <f t="shared" si="48"/>
        <v>13.983999999999998</v>
      </c>
    </row>
    <row r="771" spans="2:12" ht="16.5">
      <c r="B771" s="708" t="s">
        <v>751</v>
      </c>
      <c r="C771" s="48"/>
      <c r="D771" s="48">
        <v>0.5</v>
      </c>
      <c r="E771" s="48">
        <v>0.4</v>
      </c>
      <c r="F771" s="45">
        <v>3.3</v>
      </c>
      <c r="G771" s="48"/>
      <c r="H771" s="30"/>
      <c r="I771" s="41"/>
      <c r="J771" s="56">
        <v>2</v>
      </c>
      <c r="K771" s="30"/>
      <c r="L771" s="649">
        <f t="shared" si="48"/>
        <v>1.32</v>
      </c>
    </row>
    <row r="772" spans="2:12" ht="16.5">
      <c r="B772" s="708" t="s">
        <v>752</v>
      </c>
      <c r="C772" s="48"/>
      <c r="D772" s="48">
        <v>0.3</v>
      </c>
      <c r="E772" s="48">
        <v>0.4</v>
      </c>
      <c r="F772" s="45">
        <f>3.6*7</f>
        <v>25.2</v>
      </c>
      <c r="G772" s="48"/>
      <c r="H772" s="30"/>
      <c r="I772" s="41"/>
      <c r="J772" s="56">
        <v>2</v>
      </c>
      <c r="K772" s="30"/>
      <c r="L772" s="649">
        <f t="shared" si="48"/>
        <v>6.048</v>
      </c>
    </row>
    <row r="773" spans="2:12" ht="16.5">
      <c r="B773" s="708" t="s">
        <v>753</v>
      </c>
      <c r="C773" s="48"/>
      <c r="D773" s="48">
        <v>0.3</v>
      </c>
      <c r="E773" s="48">
        <v>0.4</v>
      </c>
      <c r="F773" s="45">
        <v>3.88</v>
      </c>
      <c r="G773" s="48"/>
      <c r="H773" s="30"/>
      <c r="I773" s="41"/>
      <c r="J773" s="56">
        <v>2</v>
      </c>
      <c r="K773" s="30"/>
      <c r="L773" s="649">
        <f t="shared" si="48"/>
        <v>0.93119999999999992</v>
      </c>
    </row>
    <row r="774" spans="2:12" ht="16.5">
      <c r="B774" s="708"/>
      <c r="C774" s="48"/>
      <c r="D774" s="48"/>
      <c r="E774" s="48"/>
      <c r="F774" s="45"/>
      <c r="G774" s="48"/>
      <c r="H774" s="30"/>
      <c r="I774" s="41"/>
      <c r="J774" s="46"/>
      <c r="K774" s="30"/>
      <c r="L774" s="649"/>
    </row>
    <row r="775" spans="2:12" ht="15.75">
      <c r="B775" s="740"/>
      <c r="C775" s="18"/>
      <c r="D775" s="18"/>
      <c r="E775" s="59"/>
      <c r="F775" s="45"/>
      <c r="G775" s="18"/>
      <c r="H775" s="5"/>
      <c r="I775" s="55"/>
      <c r="J775" s="56"/>
      <c r="K775" s="5"/>
      <c r="L775" s="649"/>
    </row>
    <row r="776" spans="2:12" ht="15.75">
      <c r="B776" s="739" t="s">
        <v>754</v>
      </c>
      <c r="C776" s="18"/>
      <c r="D776" s="18"/>
      <c r="E776" s="59"/>
      <c r="F776" s="45"/>
      <c r="G776" s="18"/>
      <c r="H776" s="5"/>
      <c r="I776" s="55"/>
      <c r="J776" s="56"/>
      <c r="K776" s="5"/>
      <c r="L776" s="649"/>
    </row>
    <row r="777" spans="2:12" ht="15.75">
      <c r="B777" s="734" t="s">
        <v>599</v>
      </c>
      <c r="C777" s="18"/>
      <c r="D777" s="48">
        <v>2.4</v>
      </c>
      <c r="E777" s="59">
        <v>0.4</v>
      </c>
      <c r="F777" s="55">
        <v>2.4</v>
      </c>
      <c r="G777" s="18"/>
      <c r="H777" s="5"/>
      <c r="I777" s="55">
        <v>18</v>
      </c>
      <c r="J777" s="56"/>
      <c r="K777" s="5"/>
      <c r="L777" s="649">
        <f>PRODUCT(C777:K777)</f>
        <v>41.471999999999994</v>
      </c>
    </row>
    <row r="778" spans="2:12" ht="15.75">
      <c r="B778" s="734" t="s">
        <v>600</v>
      </c>
      <c r="C778" s="18"/>
      <c r="D778" s="48">
        <v>1.7</v>
      </c>
      <c r="E778" s="59">
        <v>0.4</v>
      </c>
      <c r="F778" s="45">
        <v>1.7</v>
      </c>
      <c r="G778" s="18"/>
      <c r="H778" s="5"/>
      <c r="I778" s="55">
        <v>22</v>
      </c>
      <c r="J778" s="56"/>
      <c r="K778" s="5"/>
      <c r="L778" s="649">
        <f>PRODUCT(C778:K778)</f>
        <v>25.432000000000002</v>
      </c>
    </row>
    <row r="779" spans="2:12" ht="15.75">
      <c r="B779" s="734" t="s">
        <v>601</v>
      </c>
      <c r="C779" s="18"/>
      <c r="D779" s="48">
        <v>2.4</v>
      </c>
      <c r="E779" s="59">
        <v>0.4</v>
      </c>
      <c r="F779" s="45">
        <v>1.8</v>
      </c>
      <c r="G779" s="18"/>
      <c r="H779" s="5"/>
      <c r="I779" s="55">
        <v>14</v>
      </c>
      <c r="J779" s="56"/>
      <c r="K779" s="5"/>
      <c r="L779" s="649">
        <f>PRODUCT(C779:K779)</f>
        <v>24.192</v>
      </c>
    </row>
    <row r="780" spans="2:12" ht="15.75">
      <c r="B780" s="708" t="s">
        <v>755</v>
      </c>
      <c r="C780" s="18"/>
      <c r="D780" s="48">
        <v>0.3</v>
      </c>
      <c r="E780" s="59">
        <v>0.4</v>
      </c>
      <c r="F780" s="45">
        <f>2.9*2</f>
        <v>5.8</v>
      </c>
      <c r="G780" s="18"/>
      <c r="H780" s="5"/>
      <c r="I780" s="55">
        <v>2</v>
      </c>
      <c r="J780" s="56"/>
      <c r="K780" s="5"/>
      <c r="L780" s="649">
        <f>PRODUCT(C780:K780)</f>
        <v>1.3919999999999999</v>
      </c>
    </row>
    <row r="781" spans="2:12" ht="15.75">
      <c r="B781" s="708" t="s">
        <v>756</v>
      </c>
      <c r="C781" s="18"/>
      <c r="D781" s="48">
        <v>3</v>
      </c>
      <c r="E781" s="59">
        <v>0.4</v>
      </c>
      <c r="F781" s="45">
        <f>3.4*2</f>
        <v>6.8</v>
      </c>
      <c r="G781" s="18"/>
      <c r="H781" s="5"/>
      <c r="I781" s="55">
        <v>2</v>
      </c>
      <c r="J781" s="56"/>
      <c r="K781" s="5"/>
      <c r="L781" s="649">
        <f t="shared" ref="L781:L791" si="49">PRODUCT(C781:K781)</f>
        <v>16.32</v>
      </c>
    </row>
    <row r="782" spans="2:12" ht="15.75">
      <c r="B782" s="708" t="s">
        <v>757</v>
      </c>
      <c r="C782" s="18"/>
      <c r="D782" s="48">
        <v>0.3</v>
      </c>
      <c r="E782" s="59">
        <v>0.4</v>
      </c>
      <c r="F782" s="45">
        <f>2.8*2</f>
        <v>5.6</v>
      </c>
      <c r="G782" s="18"/>
      <c r="H782" s="5"/>
      <c r="I782" s="55">
        <v>2</v>
      </c>
      <c r="J782" s="56"/>
      <c r="K782" s="5"/>
      <c r="L782" s="649">
        <f t="shared" si="49"/>
        <v>1.3439999999999999</v>
      </c>
    </row>
    <row r="783" spans="2:12" ht="15.75">
      <c r="B783" s="708" t="s">
        <v>758</v>
      </c>
      <c r="C783" s="18"/>
      <c r="D783" s="48">
        <v>0.3</v>
      </c>
      <c r="E783" s="59">
        <v>0.4</v>
      </c>
      <c r="F783" s="45">
        <f>3.3*1</f>
        <v>3.3</v>
      </c>
      <c r="G783" s="18"/>
      <c r="H783" s="5"/>
      <c r="I783" s="55">
        <v>2</v>
      </c>
      <c r="J783" s="56"/>
      <c r="K783" s="5"/>
      <c r="L783" s="649">
        <f t="shared" si="49"/>
        <v>0.79199999999999993</v>
      </c>
    </row>
    <row r="784" spans="2:12" ht="15.75">
      <c r="B784" s="708" t="s">
        <v>759</v>
      </c>
      <c r="C784" s="18"/>
      <c r="D784" s="48">
        <v>0.3</v>
      </c>
      <c r="E784" s="59">
        <v>0.4</v>
      </c>
      <c r="F784" s="45">
        <v>2.6</v>
      </c>
      <c r="G784" s="18"/>
      <c r="H784" s="5"/>
      <c r="I784" s="55">
        <v>2</v>
      </c>
      <c r="J784" s="56"/>
      <c r="K784" s="5"/>
      <c r="L784" s="649">
        <f t="shared" si="49"/>
        <v>0.624</v>
      </c>
    </row>
    <row r="785" spans="2:12" ht="15.75">
      <c r="B785" s="708" t="s">
        <v>760</v>
      </c>
      <c r="C785" s="18"/>
      <c r="D785" s="48">
        <v>0.4</v>
      </c>
      <c r="E785" s="59">
        <v>0.4</v>
      </c>
      <c r="F785" s="45">
        <f>+(5.59+5.5+5.5+5.27+5.2+5.2+5.2+5.3)*3</f>
        <v>128.28</v>
      </c>
      <c r="G785" s="18"/>
      <c r="H785" s="5"/>
      <c r="I785" s="55">
        <v>2</v>
      </c>
      <c r="J785" s="56"/>
      <c r="K785" s="5"/>
      <c r="L785" s="649">
        <f t="shared" si="49"/>
        <v>41.049600000000005</v>
      </c>
    </row>
    <row r="786" spans="2:12" ht="15.75">
      <c r="B786" s="708" t="s">
        <v>761</v>
      </c>
      <c r="C786" s="18"/>
      <c r="D786" s="48">
        <v>0.3</v>
      </c>
      <c r="E786" s="59">
        <v>0.4</v>
      </c>
      <c r="F786" s="45">
        <v>2.04</v>
      </c>
      <c r="G786" s="18"/>
      <c r="H786" s="5"/>
      <c r="I786" s="55">
        <v>2</v>
      </c>
      <c r="J786" s="56"/>
      <c r="K786" s="5"/>
      <c r="L786" s="649">
        <f t="shared" si="49"/>
        <v>0.48959999999999998</v>
      </c>
    </row>
    <row r="787" spans="2:12" ht="15.75">
      <c r="B787" s="708" t="s">
        <v>762</v>
      </c>
      <c r="C787" s="18"/>
      <c r="D787" s="48">
        <v>0.3</v>
      </c>
      <c r="E787" s="59">
        <v>0.4</v>
      </c>
      <c r="F787" s="45">
        <f>+(4.08+2)*6</f>
        <v>36.480000000000004</v>
      </c>
      <c r="G787" s="18"/>
      <c r="H787" s="5"/>
      <c r="I787" s="55">
        <v>2</v>
      </c>
      <c r="J787" s="56"/>
      <c r="K787" s="5"/>
      <c r="L787" s="649">
        <f t="shared" si="49"/>
        <v>8.7552000000000003</v>
      </c>
    </row>
    <row r="788" spans="2:12" ht="15.75">
      <c r="B788" s="708" t="s">
        <v>763</v>
      </c>
      <c r="C788" s="18"/>
      <c r="D788" s="48">
        <v>0.3</v>
      </c>
      <c r="E788" s="59">
        <v>0.4</v>
      </c>
      <c r="F788" s="45">
        <f>2*5*2</f>
        <v>20</v>
      </c>
      <c r="G788" s="18"/>
      <c r="H788" s="5"/>
      <c r="I788" s="55">
        <v>2</v>
      </c>
      <c r="J788" s="56"/>
      <c r="K788" s="5"/>
      <c r="L788" s="649">
        <f t="shared" si="49"/>
        <v>4.8</v>
      </c>
    </row>
    <row r="789" spans="2:12" ht="15.75">
      <c r="B789" s="708" t="s">
        <v>764</v>
      </c>
      <c r="C789" s="18"/>
      <c r="D789" s="48">
        <v>0.3</v>
      </c>
      <c r="E789" s="59">
        <v>0.4</v>
      </c>
      <c r="F789" s="45">
        <f>4.05*4</f>
        <v>16.2</v>
      </c>
      <c r="G789" s="18"/>
      <c r="H789" s="5"/>
      <c r="I789" s="55">
        <v>2</v>
      </c>
      <c r="J789" s="56"/>
      <c r="K789" s="5"/>
      <c r="L789" s="649">
        <f t="shared" si="49"/>
        <v>3.8879999999999999</v>
      </c>
    </row>
    <row r="790" spans="2:12" ht="15.75">
      <c r="B790" s="708" t="s">
        <v>765</v>
      </c>
      <c r="C790" s="18"/>
      <c r="D790" s="48">
        <v>0.3</v>
      </c>
      <c r="E790" s="59">
        <v>0.4</v>
      </c>
      <c r="F790" s="45">
        <f>6.08*4</f>
        <v>24.32</v>
      </c>
      <c r="G790" s="18"/>
      <c r="H790" s="5"/>
      <c r="I790" s="55">
        <v>2</v>
      </c>
      <c r="J790" s="56"/>
      <c r="K790" s="5"/>
      <c r="L790" s="649">
        <f t="shared" si="49"/>
        <v>5.8368000000000002</v>
      </c>
    </row>
    <row r="791" spans="2:12" ht="15.75">
      <c r="B791" s="708" t="s">
        <v>766</v>
      </c>
      <c r="C791" s="18"/>
      <c r="D791" s="48">
        <v>0.3</v>
      </c>
      <c r="E791" s="59">
        <v>0.4</v>
      </c>
      <c r="F791" s="45">
        <v>2.04</v>
      </c>
      <c r="G791" s="18"/>
      <c r="H791" s="5"/>
      <c r="I791" s="55">
        <v>2</v>
      </c>
      <c r="J791" s="56"/>
      <c r="K791" s="5"/>
      <c r="L791" s="649">
        <f t="shared" si="49"/>
        <v>0.48959999999999998</v>
      </c>
    </row>
    <row r="792" spans="2:12" ht="15.75">
      <c r="B792" s="708"/>
      <c r="C792" s="18"/>
      <c r="D792" s="48"/>
      <c r="E792" s="59"/>
      <c r="F792" s="45"/>
      <c r="G792" s="18"/>
      <c r="H792" s="5"/>
      <c r="I792" s="55"/>
      <c r="J792" s="56"/>
      <c r="K792" s="5"/>
      <c r="L792" s="649"/>
    </row>
    <row r="793" spans="2:12" ht="15.75">
      <c r="B793" s="734"/>
      <c r="C793" s="18"/>
      <c r="D793" s="18"/>
      <c r="E793" s="59"/>
      <c r="F793" s="45"/>
      <c r="G793" s="18"/>
      <c r="H793" s="5"/>
      <c r="I793" s="55"/>
      <c r="J793" s="56"/>
      <c r="K793" s="5"/>
      <c r="L793" s="649"/>
    </row>
    <row r="794" spans="2:12" ht="15.75">
      <c r="B794" s="715" t="s">
        <v>659</v>
      </c>
      <c r="C794" s="18"/>
      <c r="D794" s="18"/>
      <c r="E794" s="59"/>
      <c r="F794" s="45"/>
      <c r="G794" s="18"/>
      <c r="H794" s="5"/>
      <c r="I794" s="55"/>
      <c r="J794" s="56"/>
      <c r="K794" s="5"/>
      <c r="L794" s="649"/>
    </row>
    <row r="795" spans="2:12" ht="15.75">
      <c r="B795" s="734" t="s">
        <v>660</v>
      </c>
      <c r="C795" s="18"/>
      <c r="D795" s="48">
        <v>2.4</v>
      </c>
      <c r="E795" s="59">
        <v>0.4</v>
      </c>
      <c r="F795" s="45">
        <v>2.4</v>
      </c>
      <c r="G795" s="18"/>
      <c r="H795" s="5"/>
      <c r="I795" s="55">
        <v>11</v>
      </c>
      <c r="J795" s="56"/>
      <c r="K795" s="5"/>
      <c r="L795" s="649">
        <f t="shared" ref="L795:L800" si="50">PRODUCT(C795:K795)</f>
        <v>25.343999999999998</v>
      </c>
    </row>
    <row r="796" spans="2:12" ht="15.75">
      <c r="B796" s="734" t="s">
        <v>440</v>
      </c>
      <c r="C796" s="18"/>
      <c r="D796" s="48">
        <v>1.7</v>
      </c>
      <c r="E796" s="59">
        <v>0.4</v>
      </c>
      <c r="F796" s="45">
        <v>1.7</v>
      </c>
      <c r="G796" s="18"/>
      <c r="H796" s="5"/>
      <c r="I796" s="55">
        <v>13</v>
      </c>
      <c r="J796" s="56"/>
      <c r="K796" s="5"/>
      <c r="L796" s="649">
        <f t="shared" si="50"/>
        <v>15.028000000000002</v>
      </c>
    </row>
    <row r="797" spans="2:12" ht="15.75">
      <c r="B797" s="734" t="s">
        <v>441</v>
      </c>
      <c r="C797" s="18"/>
      <c r="D797" s="48">
        <v>2.4</v>
      </c>
      <c r="E797" s="59">
        <v>0.4</v>
      </c>
      <c r="F797" s="45">
        <v>1.8</v>
      </c>
      <c r="G797" s="18"/>
      <c r="H797" s="5"/>
      <c r="I797" s="55">
        <v>9</v>
      </c>
      <c r="J797" s="56"/>
      <c r="K797" s="5"/>
      <c r="L797" s="649">
        <f t="shared" si="50"/>
        <v>15.552</v>
      </c>
    </row>
    <row r="798" spans="2:12" ht="15.75">
      <c r="B798" s="734" t="s">
        <v>465</v>
      </c>
      <c r="C798" s="18"/>
      <c r="D798" s="48">
        <v>2.1</v>
      </c>
      <c r="E798" s="59">
        <v>0.4</v>
      </c>
      <c r="F798" s="45">
        <v>2.9</v>
      </c>
      <c r="G798" s="18"/>
      <c r="H798" s="5"/>
      <c r="I798" s="55">
        <v>1</v>
      </c>
      <c r="J798" s="56"/>
      <c r="K798" s="5"/>
      <c r="L798" s="649">
        <f t="shared" si="50"/>
        <v>2.4359999999999999</v>
      </c>
    </row>
    <row r="799" spans="2:12" ht="15.75">
      <c r="B799" s="734" t="s">
        <v>466</v>
      </c>
      <c r="C799" s="18"/>
      <c r="D799" s="48">
        <v>2</v>
      </c>
      <c r="E799" s="59">
        <v>0.4</v>
      </c>
      <c r="F799" s="45">
        <v>2</v>
      </c>
      <c r="G799" s="18"/>
      <c r="H799" s="5"/>
      <c r="I799" s="55">
        <v>1</v>
      </c>
      <c r="J799" s="56"/>
      <c r="K799" s="5"/>
      <c r="L799" s="649">
        <f t="shared" si="50"/>
        <v>1.6</v>
      </c>
    </row>
    <row r="800" spans="2:12" ht="15.75">
      <c r="B800" s="734" t="s">
        <v>661</v>
      </c>
      <c r="C800" s="18"/>
      <c r="D800" s="48">
        <v>2.9</v>
      </c>
      <c r="E800" s="59">
        <v>0.4</v>
      </c>
      <c r="F800" s="45">
        <v>2.9</v>
      </c>
      <c r="G800" s="18"/>
      <c r="H800" s="5"/>
      <c r="I800" s="55">
        <v>1</v>
      </c>
      <c r="J800" s="56"/>
      <c r="K800" s="5"/>
      <c r="L800" s="649">
        <f t="shared" si="50"/>
        <v>3.3639999999999999</v>
      </c>
    </row>
    <row r="801" spans="2:12" ht="15.75">
      <c r="B801" s="708" t="s">
        <v>767</v>
      </c>
      <c r="C801" s="18"/>
      <c r="D801" s="48">
        <v>0.4</v>
      </c>
      <c r="E801" s="59">
        <v>0.4</v>
      </c>
      <c r="F801" s="45">
        <f>5.47+5.6+4.32+4.45+6.413+6.413+6.375+3.99+4.32+5.6+5.47</f>
        <v>58.420999999999999</v>
      </c>
      <c r="G801" s="18"/>
      <c r="H801" s="5"/>
      <c r="I801" s="55"/>
      <c r="J801" s="56"/>
      <c r="K801" s="5"/>
      <c r="L801" s="649">
        <f>PRODUCT(C801:K801)</f>
        <v>9.3473600000000019</v>
      </c>
    </row>
    <row r="802" spans="2:12" ht="15.75">
      <c r="B802" s="708" t="s">
        <v>768</v>
      </c>
      <c r="C802" s="18"/>
      <c r="D802" s="48">
        <v>0.3</v>
      </c>
      <c r="E802" s="59">
        <v>0.4</v>
      </c>
      <c r="F802" s="45">
        <v>1.92</v>
      </c>
      <c r="G802" s="18"/>
      <c r="H802" s="5"/>
      <c r="I802" s="55"/>
      <c r="J802" s="56"/>
      <c r="K802" s="5"/>
      <c r="L802" s="649">
        <f t="shared" ref="L802:L803" si="51">PRODUCT(C802:K802)</f>
        <v>0.23039999999999999</v>
      </c>
    </row>
    <row r="803" spans="2:12" ht="15.75">
      <c r="B803" s="708" t="s">
        <v>769</v>
      </c>
      <c r="C803" s="18"/>
      <c r="D803" s="48">
        <v>0.4</v>
      </c>
      <c r="E803" s="59">
        <v>0.4</v>
      </c>
      <c r="F803" s="45">
        <f>5.47+5.6+4.32+4.45+4.208+4.002+4.102+3.79+4.25+5.6+5.47</f>
        <v>51.262</v>
      </c>
      <c r="G803" s="18"/>
      <c r="H803" s="5"/>
      <c r="I803" s="55"/>
      <c r="J803" s="56"/>
      <c r="K803" s="5"/>
      <c r="L803" s="649">
        <f t="shared" si="51"/>
        <v>8.2019200000000012</v>
      </c>
    </row>
    <row r="804" spans="2:12" ht="15.75">
      <c r="B804" s="708" t="s">
        <v>488</v>
      </c>
      <c r="C804" s="18"/>
      <c r="D804" s="48">
        <v>0.4</v>
      </c>
      <c r="E804" s="59">
        <v>0.4</v>
      </c>
      <c r="F804" s="45">
        <f>5.47+5.6+4.32+4.45+2.766+2.766+2.587+3.99+4.32+5.6+5.47</f>
        <v>47.338999999999999</v>
      </c>
      <c r="G804" s="18"/>
      <c r="H804" s="5"/>
      <c r="I804" s="55"/>
      <c r="J804" s="56"/>
      <c r="K804" s="5"/>
      <c r="L804" s="649">
        <f>PRODUCT(C804:K804)</f>
        <v>7.5742400000000014</v>
      </c>
    </row>
    <row r="805" spans="2:12" ht="15.75">
      <c r="B805" s="708" t="s">
        <v>491</v>
      </c>
      <c r="C805" s="18"/>
      <c r="D805" s="48">
        <v>0.3</v>
      </c>
      <c r="E805" s="59">
        <v>0.4</v>
      </c>
      <c r="F805" s="45">
        <v>2.2999999999999998</v>
      </c>
      <c r="G805" s="18"/>
      <c r="H805" s="5"/>
      <c r="I805" s="55"/>
      <c r="J805" s="56"/>
      <c r="K805" s="5"/>
      <c r="L805" s="649">
        <f t="shared" ref="L805:L819" si="52">PRODUCT(C805:K805)</f>
        <v>0.27599999999999997</v>
      </c>
    </row>
    <row r="806" spans="2:12" ht="15.75">
      <c r="B806" s="708" t="s">
        <v>489</v>
      </c>
      <c r="C806" s="18"/>
      <c r="D806" s="48">
        <v>0.3</v>
      </c>
      <c r="E806" s="59">
        <v>0.4</v>
      </c>
      <c r="F806" s="45">
        <v>2.6</v>
      </c>
      <c r="G806" s="18"/>
      <c r="H806" s="5"/>
      <c r="I806" s="55"/>
      <c r="J806" s="56"/>
      <c r="K806" s="5"/>
      <c r="L806" s="649">
        <f t="shared" si="52"/>
        <v>0.312</v>
      </c>
    </row>
    <row r="807" spans="2:12" ht="15.75">
      <c r="B807" s="708" t="s">
        <v>490</v>
      </c>
      <c r="C807" s="18"/>
      <c r="D807" s="48">
        <v>0.3</v>
      </c>
      <c r="E807" s="59">
        <v>0.4</v>
      </c>
      <c r="F807" s="45">
        <v>2.5</v>
      </c>
      <c r="G807" s="18"/>
      <c r="H807" s="5"/>
      <c r="I807" s="55"/>
      <c r="J807" s="56"/>
      <c r="K807" s="5"/>
      <c r="L807" s="649">
        <f t="shared" si="52"/>
        <v>0.3</v>
      </c>
    </row>
    <row r="808" spans="2:12" ht="15.75">
      <c r="B808" s="708" t="s">
        <v>492</v>
      </c>
      <c r="C808" s="18"/>
      <c r="D808" s="48">
        <v>0.3</v>
      </c>
      <c r="E808" s="59">
        <v>0.4</v>
      </c>
      <c r="F808" s="45">
        <f>4.08*4</f>
        <v>16.32</v>
      </c>
      <c r="G808" s="18"/>
      <c r="H808" s="5"/>
      <c r="I808" s="55"/>
      <c r="J808" s="56"/>
      <c r="K808" s="5"/>
      <c r="L808" s="649">
        <f t="shared" si="52"/>
        <v>1.9583999999999999</v>
      </c>
    </row>
    <row r="809" spans="2:12" ht="15.75">
      <c r="B809" s="708" t="s">
        <v>495</v>
      </c>
      <c r="C809" s="18"/>
      <c r="D809" s="48">
        <v>0.3</v>
      </c>
      <c r="E809" s="59">
        <v>0.4</v>
      </c>
      <c r="F809" s="45">
        <f>2*2</f>
        <v>4</v>
      </c>
      <c r="G809" s="18"/>
      <c r="H809" s="5"/>
      <c r="I809" s="55"/>
      <c r="J809" s="56"/>
      <c r="K809" s="5"/>
      <c r="L809" s="649">
        <f t="shared" si="52"/>
        <v>0.48</v>
      </c>
    </row>
    <row r="810" spans="2:12" ht="15.75">
      <c r="B810" s="708" t="s">
        <v>493</v>
      </c>
      <c r="C810" s="18"/>
      <c r="D810" s="48">
        <v>0.3</v>
      </c>
      <c r="E810" s="59">
        <v>0.4</v>
      </c>
      <c r="F810" s="45">
        <f>+(4.53+2.4)*2</f>
        <v>13.86</v>
      </c>
      <c r="G810" s="18"/>
      <c r="H810" s="5"/>
      <c r="I810" s="55"/>
      <c r="J810" s="56"/>
      <c r="K810" s="5"/>
      <c r="L810" s="649">
        <f t="shared" si="52"/>
        <v>1.6631999999999998</v>
      </c>
    </row>
    <row r="811" spans="2:12" ht="15.75">
      <c r="B811" s="708" t="s">
        <v>494</v>
      </c>
      <c r="C811" s="18"/>
      <c r="D811" s="48">
        <v>0.3</v>
      </c>
      <c r="E811" s="59">
        <v>0.4</v>
      </c>
      <c r="F811" s="45">
        <f>2.04+2</f>
        <v>4.04</v>
      </c>
      <c r="G811" s="18"/>
      <c r="H811" s="5"/>
      <c r="I811" s="55"/>
      <c r="J811" s="56"/>
      <c r="K811" s="5"/>
      <c r="L811" s="649">
        <f t="shared" si="52"/>
        <v>0.48480000000000001</v>
      </c>
    </row>
    <row r="812" spans="2:12" ht="15.75">
      <c r="B812" s="708" t="s">
        <v>770</v>
      </c>
      <c r="C812" s="18"/>
      <c r="D812" s="48">
        <v>0.3</v>
      </c>
      <c r="E812" s="59">
        <v>0.4</v>
      </c>
      <c r="F812" s="45">
        <f>4+8*1</f>
        <v>12</v>
      </c>
      <c r="G812" s="18"/>
      <c r="H812" s="5"/>
      <c r="I812" s="55"/>
      <c r="J812" s="56"/>
      <c r="K812" s="5"/>
      <c r="L812" s="649">
        <f t="shared" si="52"/>
        <v>1.44</v>
      </c>
    </row>
    <row r="813" spans="2:12" ht="15.75">
      <c r="B813" s="708" t="s">
        <v>771</v>
      </c>
      <c r="C813" s="18"/>
      <c r="D813" s="48">
        <v>0.3</v>
      </c>
      <c r="E813" s="59">
        <v>0.4</v>
      </c>
      <c r="F813" s="45">
        <f>+(4.08+2)*3</f>
        <v>18.240000000000002</v>
      </c>
      <c r="G813" s="18"/>
      <c r="H813" s="5"/>
      <c r="I813" s="55"/>
      <c r="J813" s="56"/>
      <c r="K813" s="5"/>
      <c r="L813" s="649">
        <f t="shared" si="52"/>
        <v>2.1888000000000001</v>
      </c>
    </row>
    <row r="814" spans="2:12" ht="15.75">
      <c r="B814" s="708" t="s">
        <v>772</v>
      </c>
      <c r="C814" s="18"/>
      <c r="D814" s="48">
        <v>0.3</v>
      </c>
      <c r="E814" s="59">
        <v>0.4</v>
      </c>
      <c r="F814" s="45">
        <f>+(4.08+2)*2</f>
        <v>12.16</v>
      </c>
      <c r="G814" s="18"/>
      <c r="H814" s="5"/>
      <c r="I814" s="55"/>
      <c r="J814" s="56"/>
      <c r="K814" s="5"/>
      <c r="L814" s="649">
        <f t="shared" si="52"/>
        <v>1.4592000000000001</v>
      </c>
    </row>
    <row r="815" spans="2:12" ht="15.75">
      <c r="B815" s="708" t="s">
        <v>773</v>
      </c>
      <c r="C815" s="18"/>
      <c r="D815" s="48">
        <v>0.3</v>
      </c>
      <c r="E815" s="59">
        <v>0.4</v>
      </c>
      <c r="F815" s="45">
        <v>6.08</v>
      </c>
      <c r="G815" s="18"/>
      <c r="H815" s="5"/>
      <c r="I815" s="55"/>
      <c r="J815" s="56"/>
      <c r="K815" s="5"/>
      <c r="L815" s="649">
        <f t="shared" si="52"/>
        <v>0.72960000000000003</v>
      </c>
    </row>
    <row r="816" spans="2:12" ht="15.75">
      <c r="B816" s="708" t="s">
        <v>774</v>
      </c>
      <c r="C816" s="18"/>
      <c r="D816" s="48">
        <v>0.3</v>
      </c>
      <c r="E816" s="59">
        <v>0.4</v>
      </c>
      <c r="F816" s="45">
        <v>6.08</v>
      </c>
      <c r="G816" s="18"/>
      <c r="H816" s="5"/>
      <c r="I816" s="55"/>
      <c r="J816" s="56"/>
      <c r="K816" s="5"/>
      <c r="L816" s="649">
        <f t="shared" si="52"/>
        <v>0.72960000000000003</v>
      </c>
    </row>
    <row r="817" spans="2:12" ht="15.75">
      <c r="B817" s="708" t="s">
        <v>775</v>
      </c>
      <c r="C817" s="18"/>
      <c r="D817" s="48">
        <v>0.3</v>
      </c>
      <c r="E817" s="59">
        <v>0.4</v>
      </c>
      <c r="F817" s="45">
        <v>4.08</v>
      </c>
      <c r="G817" s="18"/>
      <c r="H817" s="5"/>
      <c r="I817" s="55"/>
      <c r="J817" s="56"/>
      <c r="K817" s="5"/>
      <c r="L817" s="649">
        <f t="shared" si="52"/>
        <v>0.48959999999999998</v>
      </c>
    </row>
    <row r="818" spans="2:12" ht="15.75">
      <c r="B818" s="708" t="s">
        <v>776</v>
      </c>
      <c r="C818" s="18"/>
      <c r="D818" s="48">
        <v>0.3</v>
      </c>
      <c r="E818" s="59">
        <v>0.4</v>
      </c>
      <c r="F818" s="45">
        <v>4.04</v>
      </c>
      <c r="G818" s="18"/>
      <c r="H818" s="5"/>
      <c r="I818" s="55"/>
      <c r="J818" s="56"/>
      <c r="K818" s="5"/>
      <c r="L818" s="649">
        <f t="shared" si="52"/>
        <v>0.48480000000000001</v>
      </c>
    </row>
    <row r="819" spans="2:12" ht="15.75">
      <c r="B819" s="708" t="s">
        <v>777</v>
      </c>
      <c r="C819" s="18"/>
      <c r="D819" s="48">
        <v>0.3</v>
      </c>
      <c r="E819" s="59">
        <v>0.4</v>
      </c>
      <c r="F819" s="45">
        <v>2</v>
      </c>
      <c r="G819" s="18"/>
      <c r="H819" s="5"/>
      <c r="I819" s="55"/>
      <c r="J819" s="56"/>
      <c r="K819" s="5"/>
      <c r="L819" s="649">
        <f t="shared" si="52"/>
        <v>0.24</v>
      </c>
    </row>
    <row r="820" spans="2:12" ht="15.75">
      <c r="B820" s="708" t="s">
        <v>778</v>
      </c>
      <c r="C820" s="18"/>
      <c r="D820" s="48">
        <v>0.3</v>
      </c>
      <c r="E820" s="59">
        <v>0.4</v>
      </c>
      <c r="F820" s="45">
        <v>4.0780000000000003</v>
      </c>
      <c r="G820" s="18"/>
      <c r="H820" s="5"/>
      <c r="I820" s="55"/>
      <c r="J820" s="56"/>
      <c r="K820" s="5"/>
      <c r="L820" s="649">
        <f>PRODUCT(C820:K820)</f>
        <v>0.48936000000000002</v>
      </c>
    </row>
    <row r="821" spans="2:12" ht="15.75">
      <c r="B821" s="708" t="s">
        <v>779</v>
      </c>
      <c r="C821" s="18"/>
      <c r="D821" s="48">
        <v>0.3</v>
      </c>
      <c r="E821" s="59">
        <v>0.4</v>
      </c>
      <c r="F821" s="45">
        <v>2.0310000000000001</v>
      </c>
      <c r="G821" s="18"/>
      <c r="H821" s="5"/>
      <c r="I821" s="55"/>
      <c r="J821" s="56"/>
      <c r="K821" s="5"/>
      <c r="L821" s="649">
        <f t="shared" ref="L821:L833" si="53">PRODUCT(C821:K821)</f>
        <v>0.24372000000000002</v>
      </c>
    </row>
    <row r="822" spans="2:12" ht="15.75">
      <c r="B822" s="734"/>
      <c r="C822" s="18"/>
      <c r="D822" s="48"/>
      <c r="E822" s="59"/>
      <c r="F822" s="45"/>
      <c r="G822" s="18"/>
      <c r="H822" s="5"/>
      <c r="I822" s="55"/>
      <c r="J822" s="56"/>
      <c r="K822" s="5"/>
      <c r="L822" s="649"/>
    </row>
    <row r="823" spans="2:12" ht="15.75">
      <c r="B823" s="715" t="s">
        <v>594</v>
      </c>
      <c r="C823" s="18"/>
      <c r="D823" s="48"/>
      <c r="E823" s="59"/>
      <c r="F823" s="45"/>
      <c r="G823" s="18"/>
      <c r="H823" s="5"/>
      <c r="I823" s="55"/>
      <c r="J823" s="56"/>
      <c r="K823" s="5"/>
      <c r="L823" s="649"/>
    </row>
    <row r="824" spans="2:12" ht="15.75">
      <c r="B824" s="734" t="s">
        <v>702</v>
      </c>
      <c r="C824" s="18"/>
      <c r="D824" s="48">
        <v>1.8</v>
      </c>
      <c r="E824" s="59">
        <v>0.4</v>
      </c>
      <c r="F824" s="45">
        <v>1.8</v>
      </c>
      <c r="G824" s="18"/>
      <c r="H824" s="5"/>
      <c r="I824" s="55"/>
      <c r="J824" s="56">
        <v>2</v>
      </c>
      <c r="K824" s="5"/>
      <c r="L824" s="649">
        <f t="shared" si="53"/>
        <v>2.5920000000000005</v>
      </c>
    </row>
    <row r="825" spans="2:12" ht="15.75">
      <c r="B825" s="734" t="s">
        <v>703</v>
      </c>
      <c r="C825" s="18"/>
      <c r="D825" s="48">
        <v>2</v>
      </c>
      <c r="E825" s="59">
        <v>0.4</v>
      </c>
      <c r="F825" s="45">
        <v>2</v>
      </c>
      <c r="G825" s="18"/>
      <c r="H825" s="5"/>
      <c r="I825" s="55"/>
      <c r="J825" s="56">
        <v>2</v>
      </c>
      <c r="K825" s="5"/>
      <c r="L825" s="649">
        <f t="shared" si="53"/>
        <v>3.2</v>
      </c>
    </row>
    <row r="826" spans="2:12" ht="15.75">
      <c r="B826" s="734" t="s">
        <v>704</v>
      </c>
      <c r="C826" s="18"/>
      <c r="D826" s="48">
        <v>2.5</v>
      </c>
      <c r="E826" s="59">
        <v>0.4</v>
      </c>
      <c r="F826" s="45">
        <v>2.5</v>
      </c>
      <c r="G826" s="18"/>
      <c r="H826" s="5"/>
      <c r="I826" s="55"/>
      <c r="J826" s="56">
        <v>2</v>
      </c>
      <c r="K826" s="5"/>
      <c r="L826" s="649">
        <f t="shared" si="53"/>
        <v>5</v>
      </c>
    </row>
    <row r="827" spans="2:12" ht="15.75">
      <c r="B827" s="708" t="s">
        <v>780</v>
      </c>
      <c r="C827" s="18"/>
      <c r="D827" s="48">
        <v>0.3</v>
      </c>
      <c r="E827" s="59">
        <v>0.4</v>
      </c>
      <c r="F827" s="45">
        <f>+(6.78+4.26+7.04)*2</f>
        <v>36.159999999999997</v>
      </c>
      <c r="G827" s="18"/>
      <c r="H827" s="5"/>
      <c r="I827" s="55"/>
      <c r="J827" s="56">
        <v>2</v>
      </c>
      <c r="K827" s="5"/>
      <c r="L827" s="649">
        <f t="shared" si="53"/>
        <v>8.6783999999999981</v>
      </c>
    </row>
    <row r="828" spans="2:12" ht="15.75">
      <c r="B828" s="708" t="s">
        <v>781</v>
      </c>
      <c r="C828" s="18"/>
      <c r="D828" s="48">
        <v>0.3</v>
      </c>
      <c r="E828" s="59">
        <v>0.4</v>
      </c>
      <c r="F828" s="45">
        <f>3.68*4</f>
        <v>14.72</v>
      </c>
      <c r="G828" s="18"/>
      <c r="H828" s="5"/>
      <c r="I828" s="55"/>
      <c r="J828" s="56">
        <v>2</v>
      </c>
      <c r="K828" s="5"/>
      <c r="L828" s="649">
        <f t="shared" si="53"/>
        <v>3.5327999999999999</v>
      </c>
    </row>
    <row r="829" spans="2:12" ht="15.75">
      <c r="B829" s="734"/>
      <c r="C829" s="18"/>
      <c r="D829" s="48"/>
      <c r="E829" s="59"/>
      <c r="F829" s="45"/>
      <c r="G829" s="18"/>
      <c r="H829" s="5"/>
      <c r="I829" s="55"/>
      <c r="J829" s="56"/>
      <c r="K829" s="5"/>
      <c r="L829" s="649"/>
    </row>
    <row r="830" spans="2:12" ht="15.75">
      <c r="B830" s="734" t="s">
        <v>931</v>
      </c>
      <c r="C830" s="18"/>
      <c r="D830" s="20">
        <v>0.4</v>
      </c>
      <c r="E830" s="378">
        <v>0.3</v>
      </c>
      <c r="F830" s="23">
        <v>50</v>
      </c>
      <c r="G830" s="57"/>
      <c r="H830" s="21"/>
      <c r="I830" s="55"/>
      <c r="J830" s="56"/>
      <c r="K830" s="5">
        <v>2</v>
      </c>
      <c r="L830" s="649">
        <f>PRODUCT(C830:K830)</f>
        <v>12</v>
      </c>
    </row>
    <row r="831" spans="2:12" ht="15.75">
      <c r="B831" s="734" t="s">
        <v>933</v>
      </c>
      <c r="C831" s="18"/>
      <c r="D831" s="20">
        <v>2.2000000000000002</v>
      </c>
      <c r="E831" s="20">
        <v>0.35</v>
      </c>
      <c r="F831" s="20">
        <v>40</v>
      </c>
      <c r="G831" s="39"/>
      <c r="H831" s="39"/>
      <c r="I831" s="39"/>
      <c r="J831" s="39"/>
      <c r="K831" s="39"/>
      <c r="L831" s="649">
        <f t="shared" si="53"/>
        <v>30.8</v>
      </c>
    </row>
    <row r="832" spans="2:12" ht="16.5">
      <c r="B832" s="734" t="s">
        <v>963</v>
      </c>
      <c r="C832" s="18"/>
      <c r="D832" s="20">
        <v>0.3</v>
      </c>
      <c r="E832" s="20">
        <v>0.3</v>
      </c>
      <c r="F832" s="377">
        <v>171</v>
      </c>
      <c r="G832" s="20"/>
      <c r="H832" s="21"/>
      <c r="I832" s="41"/>
      <c r="J832" s="46"/>
      <c r="K832" s="17"/>
      <c r="L832" s="649">
        <f t="shared" si="53"/>
        <v>15.389999999999999</v>
      </c>
    </row>
    <row r="833" spans="2:12" ht="16.5">
      <c r="B833" s="734" t="s">
        <v>1066</v>
      </c>
      <c r="C833" s="18">
        <v>0.27</v>
      </c>
      <c r="D833" s="20"/>
      <c r="E833" s="202"/>
      <c r="F833" s="377">
        <v>70</v>
      </c>
      <c r="G833" s="20"/>
      <c r="H833" s="21"/>
      <c r="I833" s="41"/>
      <c r="J833" s="46"/>
      <c r="K833" s="17"/>
      <c r="L833" s="649">
        <f t="shared" si="53"/>
        <v>18.900000000000002</v>
      </c>
    </row>
    <row r="834" spans="2:12" ht="16.5">
      <c r="B834" s="734"/>
      <c r="C834" s="18"/>
      <c r="D834" s="20"/>
      <c r="E834" s="202"/>
      <c r="F834" s="377"/>
      <c r="G834" s="20"/>
      <c r="H834" s="21"/>
      <c r="I834" s="41"/>
      <c r="J834" s="46"/>
      <c r="K834" s="17"/>
      <c r="L834" s="649"/>
    </row>
    <row r="835" spans="2:12" ht="15.75">
      <c r="B835" s="662" t="s">
        <v>975</v>
      </c>
      <c r="C835" s="19"/>
      <c r="D835" s="20"/>
      <c r="E835" s="376"/>
      <c r="F835" s="23"/>
      <c r="G835" s="57"/>
      <c r="H835" s="21"/>
      <c r="I835" s="55"/>
      <c r="J835" s="56"/>
      <c r="K835" s="354"/>
      <c r="L835" s="649"/>
    </row>
    <row r="836" spans="2:12" ht="15">
      <c r="B836" s="662" t="s">
        <v>666</v>
      </c>
      <c r="C836" s="269"/>
      <c r="D836" s="20">
        <v>0.25</v>
      </c>
      <c r="E836" s="20">
        <v>0.5</v>
      </c>
      <c r="F836" s="20">
        <v>3</v>
      </c>
      <c r="G836" s="270"/>
      <c r="H836" s="271"/>
      <c r="I836" s="35">
        <v>2</v>
      </c>
      <c r="J836" s="22">
        <v>4</v>
      </c>
      <c r="K836" s="17"/>
      <c r="L836" s="649">
        <f t="shared" ref="L836:L837" si="54">PRODUCT(C836:K836)</f>
        <v>3</v>
      </c>
    </row>
    <row r="837" spans="2:12" ht="15">
      <c r="B837" s="662" t="s">
        <v>667</v>
      </c>
      <c r="C837" s="269"/>
      <c r="D837" s="20">
        <v>0.25</v>
      </c>
      <c r="E837" s="20">
        <v>0.53</v>
      </c>
      <c r="F837" s="20">
        <v>3</v>
      </c>
      <c r="G837" s="270"/>
      <c r="H837" s="271"/>
      <c r="I837" s="35">
        <v>2</v>
      </c>
      <c r="J837" s="22">
        <v>4</v>
      </c>
      <c r="K837" s="17"/>
      <c r="L837" s="649">
        <f t="shared" si="54"/>
        <v>3.18</v>
      </c>
    </row>
    <row r="838" spans="2:12" ht="15.75">
      <c r="B838" s="1002" t="s">
        <v>414</v>
      </c>
      <c r="C838" s="1003"/>
      <c r="D838" s="1003"/>
      <c r="E838" s="1003"/>
      <c r="F838" s="1003"/>
      <c r="G838" s="1003"/>
      <c r="H838" s="1003"/>
      <c r="I838" s="1003"/>
      <c r="J838" s="1003"/>
      <c r="K838" s="1003"/>
      <c r="L838" s="1004"/>
    </row>
    <row r="839" spans="2:12">
      <c r="B839" s="651"/>
      <c r="L839" s="652"/>
    </row>
    <row r="840" spans="2:12" ht="15.75">
      <c r="B840" s="638" t="s">
        <v>398</v>
      </c>
      <c r="C840" s="8">
        <v>3</v>
      </c>
      <c r="D840" s="1008" t="s">
        <v>1028</v>
      </c>
      <c r="E840" s="1009"/>
      <c r="F840" s="1009"/>
      <c r="G840" s="1009"/>
      <c r="H840" s="1009"/>
      <c r="I840" s="1009"/>
      <c r="J840" s="1009"/>
      <c r="K840" s="1009"/>
      <c r="L840" s="1010"/>
    </row>
    <row r="841" spans="2:12" ht="15">
      <c r="B841" s="1005"/>
      <c r="C841" s="1006"/>
      <c r="D841" s="1006"/>
      <c r="E841" s="1006"/>
      <c r="F841" s="1006"/>
      <c r="G841" s="1006"/>
      <c r="H841" s="1006"/>
      <c r="I841" s="1006"/>
      <c r="J841" s="1006"/>
      <c r="K841" s="1006"/>
      <c r="L841" s="1007"/>
    </row>
    <row r="842" spans="2:12" ht="47.25">
      <c r="B842" s="653" t="s">
        <v>399</v>
      </c>
      <c r="C842" s="11">
        <f>+'PROPUESTA ECONOMICA(Proponente)'!C46</f>
        <v>3.6</v>
      </c>
      <c r="D842" s="12" t="str">
        <f>+VLOOKUP('MEMORIAS DE CANTIDADES'!C842,'PROPUESTA ECONOMICA(Proponente)'!$C$21:$H$310,5,FALSE)</f>
        <v>COLUMNAS DE CONCRETO A LA VISTA: Concreto  de 4000 PSI  (incluye suministro, formaletería e instalación).</v>
      </c>
      <c r="E842" s="13"/>
      <c r="F842" s="12"/>
      <c r="G842" s="12"/>
      <c r="H842" s="12"/>
      <c r="I842" s="11" t="s">
        <v>400</v>
      </c>
      <c r="J842" s="12" t="str">
        <f>+VLOOKUP('MEMORIAS DE CANTIDADES'!C842,'PROPUESTA ECONOMICA(Proponente)'!$C$21:$H$310,6,FALSE)</f>
        <v>m3</v>
      </c>
      <c r="K842" s="11" t="s">
        <v>401</v>
      </c>
      <c r="L842" s="643">
        <f>SUM(L843:L869)</f>
        <v>176.71149999999997</v>
      </c>
    </row>
    <row r="843" spans="2:12" ht="15">
      <c r="B843" s="644"/>
      <c r="C843" s="16"/>
      <c r="D843" s="15"/>
      <c r="E843" s="15"/>
      <c r="F843" s="15"/>
      <c r="G843" s="15"/>
      <c r="H843" s="15"/>
      <c r="I843" s="15"/>
      <c r="J843" s="15"/>
      <c r="K843" s="17"/>
      <c r="L843" s="645"/>
    </row>
    <row r="844" spans="2:12" ht="47.25">
      <c r="B844" s="646" t="s">
        <v>402</v>
      </c>
      <c r="C844" s="18" t="s">
        <v>403</v>
      </c>
      <c r="D844" s="18" t="s">
        <v>404</v>
      </c>
      <c r="E844" s="18" t="s">
        <v>405</v>
      </c>
      <c r="F844" s="18" t="s">
        <v>406</v>
      </c>
      <c r="G844" s="18" t="s">
        <v>407</v>
      </c>
      <c r="H844" s="5" t="s">
        <v>408</v>
      </c>
      <c r="I844" s="18" t="s">
        <v>409</v>
      </c>
      <c r="J844" s="5" t="s">
        <v>410</v>
      </c>
      <c r="K844" s="5" t="s">
        <v>411</v>
      </c>
      <c r="L844" s="647" t="s">
        <v>412</v>
      </c>
    </row>
    <row r="845" spans="2:12" ht="16.5">
      <c r="B845" s="658" t="s">
        <v>438</v>
      </c>
      <c r="C845" s="18"/>
      <c r="D845" s="18"/>
      <c r="E845" s="18"/>
      <c r="G845" s="18"/>
      <c r="H845" s="5"/>
      <c r="I845" s="41"/>
      <c r="J845" s="46"/>
      <c r="K845" s="5"/>
      <c r="L845" s="649"/>
    </row>
    <row r="846" spans="2:12" ht="16.5">
      <c r="B846" s="708" t="s">
        <v>664</v>
      </c>
      <c r="C846" s="48"/>
      <c r="D846" s="48">
        <v>0.5</v>
      </c>
      <c r="E846" s="48">
        <v>6.75</v>
      </c>
      <c r="F846" s="45">
        <v>0.5</v>
      </c>
      <c r="G846" s="48"/>
      <c r="H846" s="30"/>
      <c r="I846" s="41">
        <v>2</v>
      </c>
      <c r="J846" s="56">
        <v>2</v>
      </c>
      <c r="K846" s="30"/>
      <c r="L846" s="649">
        <f>PRODUCT(C846:K846)</f>
        <v>6.75</v>
      </c>
    </row>
    <row r="847" spans="2:12" ht="16.5">
      <c r="B847" s="708" t="s">
        <v>719</v>
      </c>
      <c r="C847" s="48"/>
      <c r="D847" s="48">
        <v>0.5</v>
      </c>
      <c r="E847" s="48">
        <v>6.75</v>
      </c>
      <c r="F847" s="45">
        <v>0.5</v>
      </c>
      <c r="G847" s="48"/>
      <c r="H847" s="30"/>
      <c r="I847" s="41">
        <v>2</v>
      </c>
      <c r="J847" s="56">
        <v>2</v>
      </c>
      <c r="K847" s="30"/>
      <c r="L847" s="649">
        <f t="shared" ref="L847:L849" si="55">PRODUCT(C847:K847)</f>
        <v>6.75</v>
      </c>
    </row>
    <row r="848" spans="2:12" ht="16.5">
      <c r="B848" s="708" t="s">
        <v>720</v>
      </c>
      <c r="C848" s="48">
        <v>3.14</v>
      </c>
      <c r="D848" s="48"/>
      <c r="E848" s="48">
        <v>6.75</v>
      </c>
      <c r="F848" s="45"/>
      <c r="G848" s="48"/>
      <c r="H848" s="30"/>
      <c r="I848" s="41">
        <v>2</v>
      </c>
      <c r="J848" s="56">
        <v>2</v>
      </c>
      <c r="K848" s="30"/>
      <c r="L848" s="649">
        <f>PRODUCT(C848:K848)</f>
        <v>84.78</v>
      </c>
    </row>
    <row r="849" spans="2:12" ht="16.5">
      <c r="B849" s="708" t="s">
        <v>443</v>
      </c>
      <c r="C849" s="48"/>
      <c r="D849" s="48">
        <v>0.25</v>
      </c>
      <c r="E849" s="48">
        <v>5.2</v>
      </c>
      <c r="F849" s="45">
        <v>0.25</v>
      </c>
      <c r="G849" s="48"/>
      <c r="H849" s="30"/>
      <c r="I849" s="41">
        <v>2</v>
      </c>
      <c r="J849" s="56">
        <v>2</v>
      </c>
      <c r="K849" s="30"/>
      <c r="L849" s="649">
        <f t="shared" si="55"/>
        <v>1.3</v>
      </c>
    </row>
    <row r="850" spans="2:12" ht="16.5">
      <c r="B850" s="708"/>
      <c r="C850" s="351"/>
      <c r="D850" s="352"/>
      <c r="E850" s="59"/>
      <c r="F850" s="353"/>
      <c r="G850" s="351"/>
      <c r="H850" s="5"/>
      <c r="I850" s="41"/>
      <c r="J850" s="355"/>
      <c r="K850" s="354"/>
      <c r="L850" s="649"/>
    </row>
    <row r="851" spans="2:12" ht="15.75">
      <c r="B851" s="739" t="s">
        <v>598</v>
      </c>
      <c r="C851" s="18"/>
      <c r="D851" s="18"/>
      <c r="E851" s="59"/>
      <c r="F851" s="45"/>
      <c r="G851" s="18"/>
      <c r="H851" s="5"/>
      <c r="I851" s="55"/>
      <c r="J851" s="56"/>
      <c r="K851" s="5"/>
      <c r="L851" s="649"/>
    </row>
    <row r="852" spans="2:12" ht="15.75">
      <c r="B852" s="734" t="s">
        <v>602</v>
      </c>
      <c r="C852" s="18"/>
      <c r="D852" s="48">
        <v>0.5</v>
      </c>
      <c r="E852" s="59">
        <f>1.6+3.07+0.5</f>
        <v>5.17</v>
      </c>
      <c r="F852" s="55">
        <v>0.5</v>
      </c>
      <c r="G852" s="18"/>
      <c r="H852" s="5"/>
      <c r="I852" s="55">
        <v>18</v>
      </c>
      <c r="J852" s="56"/>
      <c r="K852" s="5"/>
      <c r="L852" s="649">
        <f t="shared" ref="L852:L854" si="56">PRODUCT(C852:K852)</f>
        <v>23.265000000000001</v>
      </c>
    </row>
    <row r="853" spans="2:12" ht="15.75">
      <c r="B853" s="734" t="s">
        <v>603</v>
      </c>
      <c r="C853" s="18"/>
      <c r="D853" s="48">
        <v>0.4</v>
      </c>
      <c r="E853" s="59">
        <f>1.6+1.45</f>
        <v>3.05</v>
      </c>
      <c r="F853" s="45">
        <v>0.4</v>
      </c>
      <c r="G853" s="18"/>
      <c r="H853" s="5"/>
      <c r="I853" s="55">
        <v>18</v>
      </c>
      <c r="J853" s="56"/>
      <c r="K853" s="5"/>
      <c r="L853" s="649">
        <f t="shared" si="56"/>
        <v>8.7839999999999989</v>
      </c>
    </row>
    <row r="854" spans="2:12" ht="15.75">
      <c r="B854" s="734" t="s">
        <v>604</v>
      </c>
      <c r="C854" s="18"/>
      <c r="D854" s="48">
        <v>0.4</v>
      </c>
      <c r="E854" s="59">
        <f>1.6+0.55</f>
        <v>2.1500000000000004</v>
      </c>
      <c r="F854" s="45">
        <v>0.4</v>
      </c>
      <c r="G854" s="18"/>
      <c r="H854" s="5"/>
      <c r="I854" s="55">
        <v>18</v>
      </c>
      <c r="J854" s="56"/>
      <c r="K854" s="5"/>
      <c r="L854" s="649">
        <f t="shared" si="56"/>
        <v>6.1920000000000019</v>
      </c>
    </row>
    <row r="855" spans="2:12" ht="15.75">
      <c r="B855" s="734"/>
      <c r="C855" s="18"/>
      <c r="D855" s="18"/>
      <c r="E855" s="59"/>
      <c r="F855" s="45"/>
      <c r="G855" s="18"/>
      <c r="H855" s="5"/>
      <c r="I855" s="55"/>
      <c r="J855" s="56"/>
      <c r="K855" s="5"/>
      <c r="L855" s="649"/>
    </row>
    <row r="856" spans="2:12" ht="15.75">
      <c r="B856" s="715" t="s">
        <v>659</v>
      </c>
      <c r="C856" s="18"/>
      <c r="D856" s="18"/>
      <c r="E856" s="59"/>
      <c r="F856" s="45"/>
      <c r="G856" s="18"/>
      <c r="H856" s="5"/>
      <c r="I856" s="55"/>
      <c r="J856" s="56"/>
      <c r="K856" s="5"/>
      <c r="L856" s="649"/>
    </row>
    <row r="857" spans="2:12" ht="15.75">
      <c r="B857" s="734" t="s">
        <v>444</v>
      </c>
      <c r="C857" s="18"/>
      <c r="D857" s="48">
        <v>0.5</v>
      </c>
      <c r="E857" s="59">
        <f>3.07+1.45</f>
        <v>4.5199999999999996</v>
      </c>
      <c r="F857" s="55">
        <v>0.5</v>
      </c>
      <c r="G857" s="18"/>
      <c r="H857" s="5"/>
      <c r="I857" s="55">
        <v>13</v>
      </c>
      <c r="J857" s="56"/>
      <c r="K857" s="5"/>
      <c r="L857" s="649">
        <f t="shared" ref="L857:L863" si="57">PRODUCT(C857:K857)</f>
        <v>14.689999999999998</v>
      </c>
    </row>
    <row r="858" spans="2:12" ht="15.75">
      <c r="B858" s="734" t="s">
        <v>445</v>
      </c>
      <c r="C858" s="18"/>
      <c r="D858" s="48">
        <v>0.4</v>
      </c>
      <c r="E858" s="59">
        <f>1.45+1.6</f>
        <v>3.05</v>
      </c>
      <c r="F858" s="45">
        <v>0.4</v>
      </c>
      <c r="G858" s="18"/>
      <c r="H858" s="5"/>
      <c r="I858" s="55">
        <v>13</v>
      </c>
      <c r="J858" s="56"/>
      <c r="K858" s="5"/>
      <c r="L858" s="649">
        <f t="shared" si="57"/>
        <v>6.3439999999999994</v>
      </c>
    </row>
    <row r="859" spans="2:12" ht="15.75">
      <c r="B859" s="734" t="s">
        <v>446</v>
      </c>
      <c r="C859" s="18"/>
      <c r="D859" s="48">
        <v>0.4</v>
      </c>
      <c r="E859" s="136">
        <f>1.45+0.55</f>
        <v>2</v>
      </c>
      <c r="F859" s="45">
        <v>0.4</v>
      </c>
      <c r="G859" s="18"/>
      <c r="H859" s="5"/>
      <c r="I859" s="55">
        <v>13</v>
      </c>
      <c r="J859" s="56"/>
      <c r="K859" s="5"/>
      <c r="L859" s="649">
        <f t="shared" si="57"/>
        <v>4.160000000000001</v>
      </c>
    </row>
    <row r="860" spans="2:12" ht="15.75">
      <c r="B860" s="734"/>
      <c r="C860" s="18"/>
      <c r="D860" s="48"/>
      <c r="E860" s="136"/>
      <c r="F860" s="45"/>
      <c r="G860" s="18"/>
      <c r="H860" s="5"/>
      <c r="I860" s="55"/>
      <c r="J860" s="56"/>
      <c r="K860" s="5"/>
      <c r="L860" s="649"/>
    </row>
    <row r="861" spans="2:12" ht="15.75">
      <c r="B861" s="715" t="s">
        <v>594</v>
      </c>
      <c r="C861" s="18"/>
      <c r="D861" s="48"/>
      <c r="E861" s="136"/>
      <c r="F861" s="45"/>
      <c r="G861" s="18"/>
      <c r="H861" s="5"/>
      <c r="I861" s="55"/>
      <c r="J861" s="56"/>
      <c r="K861" s="5"/>
      <c r="L861" s="649"/>
    </row>
    <row r="862" spans="2:12" ht="15.75">
      <c r="B862" s="734" t="s">
        <v>467</v>
      </c>
      <c r="C862" s="18"/>
      <c r="D862" s="48">
        <v>0.35</v>
      </c>
      <c r="E862" s="136">
        <f>1.45+3.2</f>
        <v>4.6500000000000004</v>
      </c>
      <c r="F862" s="45">
        <v>0.35</v>
      </c>
      <c r="G862" s="18"/>
      <c r="H862" s="5"/>
      <c r="I862" s="55">
        <v>4</v>
      </c>
      <c r="J862" s="56"/>
      <c r="K862" s="5">
        <v>2</v>
      </c>
      <c r="L862" s="649">
        <f t="shared" si="57"/>
        <v>4.5569999999999995</v>
      </c>
    </row>
    <row r="863" spans="2:12" ht="15.75">
      <c r="B863" s="734" t="s">
        <v>468</v>
      </c>
      <c r="C863" s="18"/>
      <c r="D863" s="48">
        <v>0.4</v>
      </c>
      <c r="E863" s="136">
        <f>1.45+3.2</f>
        <v>4.6500000000000004</v>
      </c>
      <c r="F863" s="45">
        <v>0.4</v>
      </c>
      <c r="G863" s="18"/>
      <c r="H863" s="5"/>
      <c r="I863" s="55">
        <v>4</v>
      </c>
      <c r="J863" s="56"/>
      <c r="K863" s="5">
        <v>2</v>
      </c>
      <c r="L863" s="649">
        <f t="shared" si="57"/>
        <v>5.9520000000000017</v>
      </c>
    </row>
    <row r="864" spans="2:12" ht="15.75">
      <c r="B864" s="708"/>
      <c r="C864" s="18"/>
      <c r="D864" s="48"/>
      <c r="E864" s="59"/>
      <c r="F864" s="45"/>
      <c r="G864" s="18"/>
      <c r="H864" s="5"/>
      <c r="I864" s="55"/>
      <c r="J864" s="56"/>
      <c r="K864" s="5"/>
      <c r="L864" s="649"/>
    </row>
    <row r="865" spans="2:12" ht="15.75">
      <c r="B865" s="717" t="s">
        <v>979</v>
      </c>
      <c r="C865" s="18"/>
      <c r="D865" s="48"/>
      <c r="E865" s="59"/>
      <c r="F865" s="45"/>
      <c r="G865" s="18"/>
      <c r="H865" s="5"/>
      <c r="I865" s="55"/>
      <c r="J865" s="56"/>
      <c r="K865" s="5"/>
      <c r="L865" s="649"/>
    </row>
    <row r="866" spans="2:12" ht="17.25" thickBot="1">
      <c r="B866" s="742" t="s">
        <v>602</v>
      </c>
      <c r="C866" s="379"/>
      <c r="D866" s="379">
        <v>0.25</v>
      </c>
      <c r="E866" s="379">
        <v>4.25</v>
      </c>
      <c r="F866" s="380">
        <v>0.25</v>
      </c>
      <c r="G866" s="379"/>
      <c r="H866" s="381"/>
      <c r="I866" s="382">
        <v>4</v>
      </c>
      <c r="J866" s="383">
        <v>3</v>
      </c>
      <c r="K866" s="381"/>
      <c r="L866" s="743">
        <f>PRODUCT(C866:K866)</f>
        <v>3.1875</v>
      </c>
    </row>
    <row r="867" spans="2:12" ht="15.75">
      <c r="B867" s="734"/>
      <c r="C867" s="18"/>
      <c r="D867" s="48"/>
      <c r="E867" s="59"/>
      <c r="F867" s="45"/>
      <c r="G867" s="18"/>
      <c r="H867" s="5"/>
      <c r="I867" s="55"/>
      <c r="J867" s="56"/>
      <c r="K867" s="5"/>
      <c r="L867" s="649"/>
    </row>
    <row r="868" spans="2:12" ht="15.75">
      <c r="B868" s="715"/>
      <c r="C868" s="18"/>
      <c r="D868" s="48"/>
      <c r="E868" s="59"/>
      <c r="F868" s="45"/>
      <c r="G868" s="18"/>
      <c r="H868" s="5"/>
      <c r="I868" s="55"/>
      <c r="J868" s="56"/>
      <c r="K868" s="5"/>
      <c r="L868" s="649"/>
    </row>
    <row r="869" spans="2:12" ht="15.75">
      <c r="B869" s="1002" t="s">
        <v>414</v>
      </c>
      <c r="C869" s="1003"/>
      <c r="D869" s="1003"/>
      <c r="E869" s="1003"/>
      <c r="F869" s="1003"/>
      <c r="G869" s="1003"/>
      <c r="H869" s="1003"/>
      <c r="I869" s="1003"/>
      <c r="J869" s="1003"/>
      <c r="K869" s="1003"/>
      <c r="L869" s="1004"/>
    </row>
    <row r="870" spans="2:12">
      <c r="B870" s="651"/>
      <c r="L870" s="652"/>
    </row>
    <row r="871" spans="2:12">
      <c r="B871" s="651"/>
      <c r="L871" s="652"/>
    </row>
    <row r="872" spans="2:12" ht="15.75">
      <c r="B872" s="638" t="s">
        <v>398</v>
      </c>
      <c r="C872" s="8">
        <v>3</v>
      </c>
      <c r="D872" s="1008" t="s">
        <v>1028</v>
      </c>
      <c r="E872" s="1009"/>
      <c r="F872" s="1009"/>
      <c r="G872" s="1009"/>
      <c r="H872" s="1009"/>
      <c r="I872" s="1009"/>
      <c r="J872" s="1009"/>
      <c r="K872" s="1009"/>
      <c r="L872" s="1010"/>
    </row>
    <row r="873" spans="2:12" ht="15">
      <c r="B873" s="1005"/>
      <c r="C873" s="1006"/>
      <c r="D873" s="1006"/>
      <c r="E873" s="1006"/>
      <c r="F873" s="1006"/>
      <c r="G873" s="1006"/>
      <c r="H873" s="1006"/>
      <c r="I873" s="1006"/>
      <c r="J873" s="1006"/>
      <c r="K873" s="1006"/>
      <c r="L873" s="1007"/>
    </row>
    <row r="874" spans="2:12" ht="31.5">
      <c r="B874" s="733" t="s">
        <v>399</v>
      </c>
      <c r="C874" s="11">
        <f>+'PROPUESTA ECONOMICA(Proponente)'!C47</f>
        <v>3.7</v>
      </c>
      <c r="D874" s="12" t="str">
        <f>+VLOOKUP('MEMORIAS DE CANTIDADES'!C874,'PROPUESTA ECONOMICA(Proponente)'!$C$21:$H$310,5,FALSE)</f>
        <v>CONCRETOS DE VIGAS: Concreto  de 4000 PSI  (incluye suministro e instalación)</v>
      </c>
      <c r="E874" s="13"/>
      <c r="F874" s="12"/>
      <c r="G874" s="12"/>
      <c r="H874" s="12"/>
      <c r="I874" s="11" t="s">
        <v>400</v>
      </c>
      <c r="J874" s="12" t="str">
        <f>+VLOOKUP('MEMORIAS DE CANTIDADES'!C874,'PROPUESTA ECONOMICA(Proponente)'!$C$21:$H$310,6,FALSE)</f>
        <v>m3</v>
      </c>
      <c r="K874" s="11" t="s">
        <v>401</v>
      </c>
      <c r="L874" s="643">
        <f>SUM(L875:L928)</f>
        <v>388.42636999999996</v>
      </c>
    </row>
    <row r="875" spans="2:12" ht="15">
      <c r="B875" s="644"/>
      <c r="C875" s="16"/>
      <c r="D875" s="15"/>
      <c r="E875" s="15"/>
      <c r="F875" s="15"/>
      <c r="G875" s="15"/>
      <c r="H875" s="15"/>
      <c r="I875" s="15"/>
      <c r="J875" s="15"/>
      <c r="K875" s="17"/>
      <c r="L875" s="645"/>
    </row>
    <row r="876" spans="2:12" ht="47.25">
      <c r="B876" s="646" t="s">
        <v>402</v>
      </c>
      <c r="C876" s="18" t="s">
        <v>403</v>
      </c>
      <c r="D876" s="18" t="s">
        <v>404</v>
      </c>
      <c r="E876" s="18" t="s">
        <v>405</v>
      </c>
      <c r="F876" s="18" t="s">
        <v>406</v>
      </c>
      <c r="G876" s="18" t="s">
        <v>407</v>
      </c>
      <c r="H876" s="5" t="s">
        <v>408</v>
      </c>
      <c r="I876" s="18" t="s">
        <v>409</v>
      </c>
      <c r="J876" s="5" t="s">
        <v>410</v>
      </c>
      <c r="K876" s="5" t="s">
        <v>411</v>
      </c>
      <c r="L876" s="647" t="s">
        <v>412</v>
      </c>
    </row>
    <row r="877" spans="2:12" ht="16.5">
      <c r="B877" s="658" t="s">
        <v>438</v>
      </c>
      <c r="C877" s="18"/>
      <c r="D877" s="18"/>
      <c r="E877" s="18"/>
      <c r="G877" s="18"/>
      <c r="H877" s="5"/>
      <c r="I877" s="41"/>
      <c r="J877" s="46"/>
      <c r="K877" s="5"/>
      <c r="L877" s="649"/>
    </row>
    <row r="878" spans="2:12" ht="16.5">
      <c r="B878" s="708" t="s">
        <v>783</v>
      </c>
      <c r="C878" s="48"/>
      <c r="D878" s="48">
        <v>0.3</v>
      </c>
      <c r="E878" s="48">
        <v>0.35</v>
      </c>
      <c r="F878" s="45">
        <f>+(6.8+4.71+1.45)*2</f>
        <v>25.919999999999998</v>
      </c>
      <c r="G878" s="48"/>
      <c r="H878" s="30"/>
      <c r="I878" s="41">
        <v>2</v>
      </c>
      <c r="J878" s="46"/>
      <c r="K878" s="30"/>
      <c r="L878" s="649">
        <f t="shared" ref="L878:L882" si="58">PRODUCT(C878:K878)</f>
        <v>5.4431999999999992</v>
      </c>
    </row>
    <row r="879" spans="2:12" ht="16.5">
      <c r="B879" s="708" t="s">
        <v>784</v>
      </c>
      <c r="C879" s="48"/>
      <c r="D879" s="48">
        <v>0.3</v>
      </c>
      <c r="E879" s="48">
        <v>0.35</v>
      </c>
      <c r="F879" s="45">
        <f>3.8*2</f>
        <v>7.6</v>
      </c>
      <c r="G879" s="48"/>
      <c r="H879" s="30"/>
      <c r="I879" s="41">
        <v>2</v>
      </c>
      <c r="J879" s="46"/>
      <c r="K879" s="30"/>
      <c r="L879" s="649">
        <f t="shared" si="58"/>
        <v>1.5959999999999999</v>
      </c>
    </row>
    <row r="880" spans="2:12" ht="16.5">
      <c r="B880" s="708" t="s">
        <v>731</v>
      </c>
      <c r="C880" s="48"/>
      <c r="D880" s="48">
        <v>0.15</v>
      </c>
      <c r="E880" s="48">
        <v>0.6</v>
      </c>
      <c r="F880" s="45">
        <f>+(10.69+11.51)*2</f>
        <v>44.4</v>
      </c>
      <c r="G880" s="48"/>
      <c r="H880" s="30"/>
      <c r="I880" s="41">
        <v>2</v>
      </c>
      <c r="J880" s="46"/>
      <c r="K880" s="30"/>
      <c r="L880" s="649">
        <f t="shared" si="58"/>
        <v>7.9919999999999991</v>
      </c>
    </row>
    <row r="881" spans="2:12" ht="16.5">
      <c r="B881" s="708" t="s">
        <v>729</v>
      </c>
      <c r="C881" s="48"/>
      <c r="D881" s="48">
        <v>0.5</v>
      </c>
      <c r="E881" s="48">
        <v>0.6</v>
      </c>
      <c r="F881" s="45">
        <f>+(10.69+11.51)*2</f>
        <v>44.4</v>
      </c>
      <c r="G881" s="48"/>
      <c r="H881" s="30"/>
      <c r="I881" s="41">
        <v>2</v>
      </c>
      <c r="J881" s="46"/>
      <c r="K881" s="30"/>
      <c r="L881" s="649">
        <f t="shared" si="58"/>
        <v>26.639999999999997</v>
      </c>
    </row>
    <row r="882" spans="2:12" ht="16.5">
      <c r="B882" s="708" t="s">
        <v>730</v>
      </c>
      <c r="C882" s="48"/>
      <c r="D882" s="48">
        <v>0.35</v>
      </c>
      <c r="E882" s="48">
        <v>0.6</v>
      </c>
      <c r="F882" s="45">
        <f>+(0.65+3.4+0.85)*5</f>
        <v>24.499999999999996</v>
      </c>
      <c r="G882" s="48"/>
      <c r="H882" s="30"/>
      <c r="I882" s="41">
        <v>2</v>
      </c>
      <c r="J882" s="46"/>
      <c r="K882" s="30"/>
      <c r="L882" s="649">
        <f t="shared" si="58"/>
        <v>10.289999999999997</v>
      </c>
    </row>
    <row r="883" spans="2:12" ht="16.5">
      <c r="B883" s="708"/>
      <c r="C883" s="351"/>
      <c r="D883" s="352"/>
      <c r="E883" s="59"/>
      <c r="F883" s="353"/>
      <c r="G883" s="351"/>
      <c r="H883" s="5"/>
      <c r="I883" s="41"/>
      <c r="J883" s="355"/>
      <c r="K883" s="354"/>
      <c r="L883" s="649"/>
    </row>
    <row r="884" spans="2:12" ht="15.75">
      <c r="B884" s="739" t="s">
        <v>598</v>
      </c>
      <c r="C884" s="18"/>
      <c r="D884" s="18"/>
      <c r="E884" s="59"/>
      <c r="F884" s="45"/>
      <c r="G884" s="18"/>
      <c r="H884" s="5"/>
      <c r="I884" s="55"/>
      <c r="J884" s="56"/>
      <c r="K884" s="5"/>
      <c r="L884" s="649"/>
    </row>
    <row r="885" spans="2:12" ht="15.75">
      <c r="B885" s="744"/>
      <c r="C885" s="18"/>
      <c r="D885" s="50"/>
      <c r="E885" s="59"/>
      <c r="F885" s="45"/>
      <c r="G885" s="18"/>
      <c r="H885" s="5"/>
      <c r="I885" s="55"/>
      <c r="J885" s="56"/>
      <c r="K885" s="5"/>
      <c r="L885" s="649"/>
    </row>
    <row r="886" spans="2:12" ht="15.75">
      <c r="B886" s="745" t="s">
        <v>785</v>
      </c>
      <c r="C886" s="18"/>
      <c r="D886" s="59">
        <v>0.3</v>
      </c>
      <c r="E886" s="59">
        <v>0.5</v>
      </c>
      <c r="F886" s="45">
        <f>+(4.53+2.4)*2</f>
        <v>13.86</v>
      </c>
      <c r="G886" s="18"/>
      <c r="H886" s="5"/>
      <c r="I886" s="55">
        <v>2</v>
      </c>
      <c r="J886" s="56"/>
      <c r="K886" s="5"/>
      <c r="L886" s="649">
        <f t="shared" ref="L886:L918" si="59">PRODUCT(C886:K886)</f>
        <v>4.1579999999999995</v>
      </c>
    </row>
    <row r="887" spans="2:12" ht="15.75">
      <c r="B887" s="745" t="s">
        <v>786</v>
      </c>
      <c r="C887" s="18"/>
      <c r="D887" s="59">
        <v>0.3</v>
      </c>
      <c r="E887" s="59">
        <v>0.5</v>
      </c>
      <c r="F887" s="45">
        <f>+(4.5+0.8)*6</f>
        <v>31.799999999999997</v>
      </c>
      <c r="G887" s="18"/>
      <c r="H887" s="5"/>
      <c r="I887" s="55">
        <v>2</v>
      </c>
      <c r="J887" s="56"/>
      <c r="K887" s="5"/>
      <c r="L887" s="649">
        <f t="shared" si="59"/>
        <v>9.5399999999999991</v>
      </c>
    </row>
    <row r="888" spans="2:12" ht="15.75">
      <c r="B888" s="745" t="s">
        <v>787</v>
      </c>
      <c r="C888" s="18"/>
      <c r="D888" s="59">
        <v>0.4</v>
      </c>
      <c r="E888" s="59">
        <v>0.5</v>
      </c>
      <c r="F888" s="45">
        <f>+(2.4+4.53)*7</f>
        <v>48.51</v>
      </c>
      <c r="G888" s="18"/>
      <c r="H888" s="5"/>
      <c r="I888" s="55">
        <v>2</v>
      </c>
      <c r="J888" s="56"/>
      <c r="K888" s="5"/>
      <c r="L888" s="649">
        <f t="shared" si="59"/>
        <v>19.404</v>
      </c>
    </row>
    <row r="889" spans="2:12" ht="15.75">
      <c r="B889" s="745" t="s">
        <v>788</v>
      </c>
      <c r="C889" s="18"/>
      <c r="D889" s="59">
        <v>0.3</v>
      </c>
      <c r="E889" s="59">
        <v>0.5</v>
      </c>
      <c r="F889" s="45">
        <f>+(4.5+0.8)*1</f>
        <v>5.3</v>
      </c>
      <c r="G889" s="18"/>
      <c r="H889" s="5"/>
      <c r="I889" s="55">
        <v>2</v>
      </c>
      <c r="J889" s="56"/>
      <c r="K889" s="5"/>
      <c r="L889" s="649">
        <f t="shared" si="59"/>
        <v>1.5899999999999999</v>
      </c>
    </row>
    <row r="890" spans="2:12" ht="15.75">
      <c r="B890" s="745" t="s">
        <v>789</v>
      </c>
      <c r="C890" s="18"/>
      <c r="D890" s="59">
        <v>0.3</v>
      </c>
      <c r="E890" s="59">
        <v>0.5</v>
      </c>
      <c r="F890" s="45">
        <f>+(5.25+5.25+5.7+5.68+5.7+5.8+5.79+5.8)</f>
        <v>44.969999999999992</v>
      </c>
      <c r="G890" s="18"/>
      <c r="H890" s="5"/>
      <c r="I890" s="55">
        <v>2</v>
      </c>
      <c r="J890" s="56"/>
      <c r="K890" s="5"/>
      <c r="L890" s="649">
        <f t="shared" si="59"/>
        <v>13.490999999999998</v>
      </c>
    </row>
    <row r="891" spans="2:12" ht="15.75">
      <c r="B891" s="745" t="s">
        <v>790</v>
      </c>
      <c r="C891" s="18"/>
      <c r="D891" s="59">
        <v>0.35</v>
      </c>
      <c r="E891" s="59">
        <v>0.4</v>
      </c>
      <c r="F891" s="45">
        <f>+(5.25+5.25+5.7+5.68+5.7+5.8+5.79+5.8)*2</f>
        <v>89.939999999999984</v>
      </c>
      <c r="G891" s="18"/>
      <c r="H891" s="5"/>
      <c r="I891" s="55">
        <v>2</v>
      </c>
      <c r="J891" s="56"/>
      <c r="K891" s="5"/>
      <c r="L891" s="649">
        <f t="shared" si="59"/>
        <v>25.183199999999992</v>
      </c>
    </row>
    <row r="892" spans="2:12" ht="15.75">
      <c r="B892" s="745" t="s">
        <v>647</v>
      </c>
      <c r="C892" s="18"/>
      <c r="D892" s="59">
        <v>0.2</v>
      </c>
      <c r="E892" s="59">
        <v>0.61</v>
      </c>
      <c r="F892" s="45">
        <f>+(3.8+3.35)*6</f>
        <v>42.900000000000006</v>
      </c>
      <c r="G892" s="18"/>
      <c r="H892" s="5"/>
      <c r="I892" s="55">
        <v>2</v>
      </c>
      <c r="J892" s="56"/>
      <c r="K892" s="5"/>
      <c r="L892" s="649">
        <f t="shared" si="59"/>
        <v>10.467600000000001</v>
      </c>
    </row>
    <row r="893" spans="2:12" ht="15.75">
      <c r="B893" s="745" t="s">
        <v>648</v>
      </c>
      <c r="C893" s="18"/>
      <c r="D893" s="59">
        <v>0.2</v>
      </c>
      <c r="E893" s="59">
        <v>0.61</v>
      </c>
      <c r="F893" s="45">
        <f>+(5.3+1.74)*6</f>
        <v>42.24</v>
      </c>
      <c r="G893" s="18"/>
      <c r="H893" s="5"/>
      <c r="I893" s="55">
        <v>2</v>
      </c>
      <c r="J893" s="56"/>
      <c r="K893" s="5"/>
      <c r="L893" s="649">
        <f t="shared" si="59"/>
        <v>10.306560000000001</v>
      </c>
    </row>
    <row r="894" spans="2:12" ht="15.75">
      <c r="B894" s="745" t="s">
        <v>649</v>
      </c>
      <c r="C894" s="18"/>
      <c r="D894" s="59">
        <v>0.2</v>
      </c>
      <c r="E894" s="59">
        <v>0.61</v>
      </c>
      <c r="F894" s="45">
        <f>+(1.74+5.3)*6</f>
        <v>42.24</v>
      </c>
      <c r="G894" s="18"/>
      <c r="H894" s="5"/>
      <c r="I894" s="55">
        <v>2</v>
      </c>
      <c r="J894" s="56"/>
      <c r="K894" s="5"/>
      <c r="L894" s="649">
        <f t="shared" si="59"/>
        <v>10.306560000000001</v>
      </c>
    </row>
    <row r="895" spans="2:12" ht="15.75">
      <c r="B895" s="745" t="s">
        <v>650</v>
      </c>
      <c r="C895" s="18"/>
      <c r="D895" s="59">
        <v>0.2</v>
      </c>
      <c r="E895" s="59">
        <v>0.61</v>
      </c>
      <c r="F895" s="45">
        <f>+(3.85+3.29)*6</f>
        <v>42.84</v>
      </c>
      <c r="G895" s="18"/>
      <c r="H895" s="5"/>
      <c r="I895" s="55">
        <v>2</v>
      </c>
      <c r="J895" s="56"/>
      <c r="K895" s="5"/>
      <c r="L895" s="649">
        <f t="shared" si="59"/>
        <v>10.452960000000001</v>
      </c>
    </row>
    <row r="896" spans="2:12" ht="15.75">
      <c r="B896" s="745" t="s">
        <v>651</v>
      </c>
      <c r="C896" s="18"/>
      <c r="D896" s="59">
        <v>0.2</v>
      </c>
      <c r="E896" s="59">
        <v>0.61</v>
      </c>
      <c r="F896" s="45">
        <f>+(0.5+4.35)*6</f>
        <v>29.099999999999998</v>
      </c>
      <c r="G896" s="18"/>
      <c r="H896" s="5"/>
      <c r="I896" s="55">
        <v>2</v>
      </c>
      <c r="J896" s="56"/>
      <c r="K896" s="5"/>
      <c r="L896" s="649">
        <f t="shared" si="59"/>
        <v>7.1003999999999996</v>
      </c>
    </row>
    <row r="897" spans="2:12" ht="15.75">
      <c r="B897" s="745" t="s">
        <v>642</v>
      </c>
      <c r="C897" s="18"/>
      <c r="D897" s="59">
        <v>0.15</v>
      </c>
      <c r="E897" s="59">
        <v>0.5</v>
      </c>
      <c r="F897" s="45">
        <f>+(3.35+5.3+1.74+1.74+5.3+3.85+3.29+0.5+4.35)</f>
        <v>29.42</v>
      </c>
      <c r="G897" s="18"/>
      <c r="H897" s="5"/>
      <c r="I897" s="55">
        <v>2</v>
      </c>
      <c r="J897" s="56"/>
      <c r="K897" s="5"/>
      <c r="L897" s="649">
        <f t="shared" si="59"/>
        <v>4.4130000000000003</v>
      </c>
    </row>
    <row r="898" spans="2:12" ht="15.75">
      <c r="B898" s="745"/>
      <c r="C898" s="18"/>
      <c r="D898" s="18"/>
      <c r="E898" s="59"/>
      <c r="F898" s="45"/>
      <c r="G898" s="18"/>
      <c r="H898" s="5"/>
      <c r="I898" s="55"/>
      <c r="J898" s="56"/>
      <c r="K898" s="5"/>
      <c r="L898" s="649"/>
    </row>
    <row r="899" spans="2:12" ht="15.75">
      <c r="B899" s="734"/>
      <c r="C899" s="18"/>
      <c r="D899" s="18"/>
      <c r="E899" s="59"/>
      <c r="F899" s="45"/>
      <c r="G899" s="18"/>
      <c r="H899" s="5"/>
      <c r="I899" s="55"/>
      <c r="J899" s="56"/>
      <c r="K899" s="5"/>
      <c r="L899" s="649"/>
    </row>
    <row r="900" spans="2:12" ht="15.75">
      <c r="B900" s="715" t="s">
        <v>659</v>
      </c>
      <c r="C900" s="18"/>
      <c r="D900" s="18"/>
      <c r="E900" s="59"/>
      <c r="F900" s="45"/>
      <c r="G900" s="18"/>
      <c r="H900" s="5"/>
      <c r="I900" s="55"/>
      <c r="J900" s="56"/>
      <c r="K900" s="5"/>
      <c r="L900" s="649"/>
    </row>
    <row r="901" spans="2:12" ht="15.75">
      <c r="B901" s="745" t="s">
        <v>791</v>
      </c>
      <c r="C901" s="18"/>
      <c r="D901" s="48">
        <v>0.35</v>
      </c>
      <c r="E901" s="59">
        <v>0.5</v>
      </c>
      <c r="F901" s="45">
        <f>+(5.47+5.6+4.32+4.45+6.39+6.39+6.34+3.99+4.32+5.6+5.47)</f>
        <v>58.339999999999996</v>
      </c>
      <c r="G901" s="18"/>
      <c r="H901" s="5"/>
      <c r="I901" s="55"/>
      <c r="J901" s="56"/>
      <c r="K901" s="5"/>
      <c r="L901" s="649">
        <f t="shared" si="59"/>
        <v>10.209499999999998</v>
      </c>
    </row>
    <row r="902" spans="2:12" ht="15.75">
      <c r="B902" s="745" t="s">
        <v>792</v>
      </c>
      <c r="C902" s="18"/>
      <c r="D902" s="48">
        <v>0.35</v>
      </c>
      <c r="E902" s="59">
        <v>0.5</v>
      </c>
      <c r="F902" s="45">
        <f>+(5.47+5.6+4.32+4.45+5.52+5.52+5.47+3.99+4.32+5.6+5.47)</f>
        <v>55.730000000000004</v>
      </c>
      <c r="G902" s="18"/>
      <c r="H902" s="5"/>
      <c r="I902" s="55"/>
      <c r="J902" s="56"/>
      <c r="K902" s="5"/>
      <c r="L902" s="649">
        <f t="shared" si="59"/>
        <v>9.7527500000000007</v>
      </c>
    </row>
    <row r="903" spans="2:12" ht="15.75">
      <c r="B903" s="745" t="s">
        <v>793</v>
      </c>
      <c r="C903" s="18"/>
      <c r="D903" s="48">
        <v>0.3</v>
      </c>
      <c r="E903" s="59">
        <v>0.5</v>
      </c>
      <c r="F903" s="45">
        <f>+(5.47+5.6+4.32+4.45+3.02+3.02+2.85+3.99+4.32+5.6+5.47)</f>
        <v>48.11</v>
      </c>
      <c r="G903" s="18"/>
      <c r="H903" s="5"/>
      <c r="I903" s="55"/>
      <c r="J903" s="56"/>
      <c r="K903" s="5"/>
      <c r="L903" s="649">
        <f t="shared" si="59"/>
        <v>7.2164999999999999</v>
      </c>
    </row>
    <row r="904" spans="2:12" ht="15.75">
      <c r="B904" s="745" t="s">
        <v>794</v>
      </c>
      <c r="C904" s="18"/>
      <c r="D904" s="48">
        <v>0.3</v>
      </c>
      <c r="E904" s="59">
        <v>0.5</v>
      </c>
      <c r="F904" s="45">
        <f>+(4.53+2.4)*2</f>
        <v>13.86</v>
      </c>
      <c r="G904" s="18"/>
      <c r="H904" s="5"/>
      <c r="I904" s="55"/>
      <c r="J904" s="56"/>
      <c r="K904" s="5"/>
      <c r="L904" s="649">
        <f t="shared" si="59"/>
        <v>2.0789999999999997</v>
      </c>
    </row>
    <row r="905" spans="2:12" ht="15.75">
      <c r="B905" s="745" t="s">
        <v>795</v>
      </c>
      <c r="C905" s="18"/>
      <c r="D905" s="48">
        <v>0.3</v>
      </c>
      <c r="E905" s="59">
        <v>0.5</v>
      </c>
      <c r="F905" s="45">
        <f>+(4.5+0.8)*6</f>
        <v>31.799999999999997</v>
      </c>
      <c r="G905" s="18"/>
      <c r="H905" s="5"/>
      <c r="I905" s="55"/>
      <c r="J905" s="56"/>
      <c r="K905" s="5"/>
      <c r="L905" s="649">
        <f t="shared" si="59"/>
        <v>4.7699999999999996</v>
      </c>
    </row>
    <row r="906" spans="2:12" ht="15.75">
      <c r="B906" s="745" t="s">
        <v>796</v>
      </c>
      <c r="C906" s="18"/>
      <c r="D906" s="48">
        <v>0.4</v>
      </c>
      <c r="E906" s="59">
        <v>0.5</v>
      </c>
      <c r="F906" s="45">
        <f>+(4.53+2.4+0.8)*11</f>
        <v>85.03</v>
      </c>
      <c r="G906" s="18"/>
      <c r="H906" s="5"/>
      <c r="I906" s="55"/>
      <c r="J906" s="56"/>
      <c r="K906" s="5"/>
      <c r="L906" s="649">
        <f t="shared" si="59"/>
        <v>17.006</v>
      </c>
    </row>
    <row r="907" spans="2:12" ht="15.75">
      <c r="B907" s="734" t="s">
        <v>690</v>
      </c>
      <c r="C907" s="18"/>
      <c r="D907" s="48">
        <v>0.2</v>
      </c>
      <c r="E907" s="59">
        <v>0.61</v>
      </c>
      <c r="F907" s="45">
        <f>+(4.2+3.7)*5</f>
        <v>39.5</v>
      </c>
      <c r="G907" s="18"/>
      <c r="H907" s="5"/>
      <c r="I907" s="55"/>
      <c r="J907" s="56"/>
      <c r="K907" s="5"/>
      <c r="L907" s="649">
        <f t="shared" si="59"/>
        <v>4.819</v>
      </c>
    </row>
    <row r="908" spans="2:12" ht="15.75">
      <c r="B908" s="734" t="s">
        <v>692</v>
      </c>
      <c r="C908" s="18"/>
      <c r="D908" s="48">
        <v>0.2</v>
      </c>
      <c r="E908" s="59">
        <v>0.61</v>
      </c>
      <c r="F908" s="45">
        <f>+(3.92+2.55)*5</f>
        <v>32.35</v>
      </c>
      <c r="G908" s="18"/>
      <c r="H908" s="5"/>
      <c r="I908" s="55"/>
      <c r="J908" s="56"/>
      <c r="K908" s="5"/>
      <c r="L908" s="649">
        <f t="shared" si="59"/>
        <v>3.9466999999999999</v>
      </c>
    </row>
    <row r="909" spans="2:12" ht="15.75">
      <c r="B909" s="734" t="s">
        <v>694</v>
      </c>
      <c r="C909" s="18"/>
      <c r="D909" s="48">
        <v>0.2</v>
      </c>
      <c r="E909" s="59">
        <v>0.61</v>
      </c>
      <c r="F909" s="45">
        <f>+(5.03+4.62+4.2+3.79+3.38+5.52+5.03+4.62+4.21+3.79+3.38+4.96+4.52+4.09+3.66+3.22)</f>
        <v>68.02</v>
      </c>
      <c r="G909" s="18"/>
      <c r="H909" s="5"/>
      <c r="I909" s="55"/>
      <c r="J909" s="56"/>
      <c r="K909" s="5"/>
      <c r="L909" s="649">
        <f t="shared" si="59"/>
        <v>8.2984399999999994</v>
      </c>
    </row>
    <row r="910" spans="2:12" ht="15.75">
      <c r="B910" s="734" t="s">
        <v>696</v>
      </c>
      <c r="C910" s="18"/>
      <c r="D910" s="48">
        <v>0.2</v>
      </c>
      <c r="E910" s="59">
        <v>0.61</v>
      </c>
      <c r="F910" s="45">
        <f>+(2.55+3.92)*5</f>
        <v>32.35</v>
      </c>
      <c r="G910" s="18"/>
      <c r="H910" s="5"/>
      <c r="I910" s="55"/>
      <c r="J910" s="56"/>
      <c r="K910" s="5"/>
      <c r="L910" s="649">
        <f t="shared" si="59"/>
        <v>3.9466999999999999</v>
      </c>
    </row>
    <row r="911" spans="2:12" ht="15.75">
      <c r="B911" s="734" t="s">
        <v>698</v>
      </c>
      <c r="C911" s="18"/>
      <c r="D911" s="48">
        <v>0.2</v>
      </c>
      <c r="E911" s="59">
        <v>0.61</v>
      </c>
      <c r="F911" s="45">
        <f>+(3.7+4.01)*5</f>
        <v>38.549999999999997</v>
      </c>
      <c r="G911" s="18"/>
      <c r="H911" s="5"/>
      <c r="I911" s="55"/>
      <c r="J911" s="56"/>
      <c r="K911" s="5"/>
      <c r="L911" s="649">
        <f t="shared" si="59"/>
        <v>4.7030999999999992</v>
      </c>
    </row>
    <row r="912" spans="2:12" ht="15.75">
      <c r="B912" s="734"/>
      <c r="C912" s="18"/>
      <c r="D912" s="48"/>
      <c r="E912" s="59"/>
      <c r="F912" s="45"/>
      <c r="G912" s="18"/>
      <c r="H912" s="5"/>
      <c r="I912" s="55"/>
      <c r="J912" s="56"/>
      <c r="K912" s="5"/>
      <c r="L912" s="649"/>
    </row>
    <row r="913" spans="2:12" ht="15.75">
      <c r="B913" s="715" t="s">
        <v>594</v>
      </c>
      <c r="C913" s="18"/>
      <c r="D913" s="48"/>
      <c r="E913" s="59"/>
      <c r="F913" s="45"/>
      <c r="G913" s="18"/>
      <c r="H913" s="5"/>
      <c r="I913" s="55"/>
      <c r="J913" s="56"/>
      <c r="K913" s="5"/>
      <c r="L913" s="649"/>
    </row>
    <row r="914" spans="2:12" ht="15.75">
      <c r="B914" s="745" t="s">
        <v>508</v>
      </c>
      <c r="C914" s="18"/>
      <c r="D914" s="48">
        <v>0.3</v>
      </c>
      <c r="E914" s="59">
        <v>0.45</v>
      </c>
      <c r="F914" s="45">
        <v>7.34</v>
      </c>
      <c r="G914" s="18"/>
      <c r="H914" s="5"/>
      <c r="I914" s="55"/>
      <c r="J914" s="56">
        <v>2</v>
      </c>
      <c r="K914" s="5"/>
      <c r="L914" s="649">
        <f>PRODUCT(C914:K914)</f>
        <v>1.9818</v>
      </c>
    </row>
    <row r="915" spans="2:12" ht="15.75">
      <c r="B915" s="745" t="s">
        <v>797</v>
      </c>
      <c r="C915" s="18"/>
      <c r="D915" s="48">
        <v>0.35</v>
      </c>
      <c r="E915" s="59">
        <v>0.45</v>
      </c>
      <c r="F915" s="45">
        <f>+(7.03+4.54+7.34)*2</f>
        <v>37.82</v>
      </c>
      <c r="G915" s="18"/>
      <c r="H915" s="5"/>
      <c r="I915" s="55"/>
      <c r="J915" s="56">
        <v>2</v>
      </c>
      <c r="K915" s="5"/>
      <c r="L915" s="649">
        <f t="shared" si="59"/>
        <v>11.9133</v>
      </c>
    </row>
    <row r="916" spans="2:12" ht="15.75">
      <c r="B916" s="745" t="s">
        <v>798</v>
      </c>
      <c r="C916" s="18"/>
      <c r="D916" s="48">
        <v>0.3</v>
      </c>
      <c r="E916" s="59">
        <v>0.45</v>
      </c>
      <c r="F916" s="45">
        <f>3.58*3</f>
        <v>10.74</v>
      </c>
      <c r="G916" s="18"/>
      <c r="H916" s="5"/>
      <c r="I916" s="55"/>
      <c r="J916" s="56">
        <v>2</v>
      </c>
      <c r="K916" s="5"/>
      <c r="L916" s="649">
        <f t="shared" si="59"/>
        <v>2.8998000000000004</v>
      </c>
    </row>
    <row r="917" spans="2:12" ht="15.75">
      <c r="B917" s="745" t="s">
        <v>799</v>
      </c>
      <c r="C917" s="18"/>
      <c r="D917" s="48">
        <v>0.4</v>
      </c>
      <c r="E917" s="59">
        <v>0.45</v>
      </c>
      <c r="F917" s="45">
        <f>+(2.4+3.58)*2</f>
        <v>11.96</v>
      </c>
      <c r="G917" s="18"/>
      <c r="H917" s="5"/>
      <c r="I917" s="55"/>
      <c r="J917" s="56">
        <v>2</v>
      </c>
      <c r="K917" s="5"/>
      <c r="L917" s="649">
        <f t="shared" si="59"/>
        <v>4.305600000000001</v>
      </c>
    </row>
    <row r="918" spans="2:12" ht="15.75">
      <c r="B918" s="745" t="s">
        <v>800</v>
      </c>
      <c r="C918" s="18"/>
      <c r="D918" s="48">
        <v>0.35</v>
      </c>
      <c r="E918" s="59">
        <v>0.45</v>
      </c>
      <c r="F918" s="45">
        <f>+(2.4+3.58)*1</f>
        <v>5.98</v>
      </c>
      <c r="G918" s="18"/>
      <c r="H918" s="5"/>
      <c r="I918" s="55"/>
      <c r="J918" s="56">
        <v>2</v>
      </c>
      <c r="K918" s="5"/>
      <c r="L918" s="649">
        <f t="shared" si="59"/>
        <v>1.8837000000000002</v>
      </c>
    </row>
    <row r="919" spans="2:12" ht="15.75">
      <c r="B919" s="734"/>
      <c r="C919" s="18"/>
      <c r="D919" s="48"/>
      <c r="E919" s="59"/>
      <c r="F919" s="45"/>
      <c r="G919" s="18"/>
      <c r="H919" s="5"/>
      <c r="I919" s="55"/>
      <c r="J919" s="56"/>
      <c r="K919" s="5"/>
      <c r="L919" s="649"/>
    </row>
    <row r="920" spans="2:12" ht="15">
      <c r="B920" s="740"/>
      <c r="C920" s="19"/>
      <c r="D920" s="20"/>
      <c r="E920" s="20"/>
      <c r="F920" s="47"/>
      <c r="G920" s="57"/>
      <c r="H920" s="21"/>
      <c r="I920" s="55"/>
      <c r="J920" s="56"/>
      <c r="K920" s="17"/>
      <c r="L920" s="649"/>
    </row>
    <row r="921" spans="2:12" ht="15">
      <c r="B921" s="746" t="s">
        <v>801</v>
      </c>
      <c r="C921" s="19">
        <v>1.6</v>
      </c>
      <c r="D921" s="20">
        <v>1.2</v>
      </c>
      <c r="E921" s="20"/>
      <c r="F921" s="47"/>
      <c r="G921" s="57"/>
      <c r="H921" s="21"/>
      <c r="I921" s="55">
        <v>6</v>
      </c>
      <c r="J921" s="56"/>
      <c r="K921" s="17"/>
      <c r="L921" s="649">
        <f t="shared" ref="L921:L923" si="60">PRODUCT(C921:K921)</f>
        <v>11.52</v>
      </c>
    </row>
    <row r="922" spans="2:12" ht="15">
      <c r="B922" s="746" t="s">
        <v>802</v>
      </c>
      <c r="C922" s="19">
        <v>1.6</v>
      </c>
      <c r="D922" s="20">
        <v>1.2</v>
      </c>
      <c r="E922" s="20"/>
      <c r="F922" s="47"/>
      <c r="G922" s="57"/>
      <c r="H922" s="21"/>
      <c r="I922" s="55">
        <v>12</v>
      </c>
      <c r="J922" s="56"/>
      <c r="K922" s="17"/>
      <c r="L922" s="649">
        <f t="shared" si="60"/>
        <v>23.04</v>
      </c>
    </row>
    <row r="923" spans="2:12" ht="15">
      <c r="B923" s="746" t="s">
        <v>803</v>
      </c>
      <c r="C923" s="19">
        <v>1.6</v>
      </c>
      <c r="D923" s="20">
        <v>1.2</v>
      </c>
      <c r="E923" s="20"/>
      <c r="F923" s="47"/>
      <c r="G923" s="57"/>
      <c r="H923" s="21"/>
      <c r="I923" s="55">
        <v>3</v>
      </c>
      <c r="J923" s="56"/>
      <c r="K923" s="17"/>
      <c r="L923" s="649">
        <f t="shared" si="60"/>
        <v>5.76</v>
      </c>
    </row>
    <row r="924" spans="2:12" ht="15">
      <c r="B924" s="746"/>
      <c r="C924" s="19"/>
      <c r="D924" s="20"/>
      <c r="E924" s="20"/>
      <c r="F924" s="47"/>
      <c r="G924" s="57"/>
      <c r="H924" s="21"/>
      <c r="I924" s="55"/>
      <c r="J924" s="56"/>
      <c r="K924" s="17"/>
      <c r="L924" s="649"/>
    </row>
    <row r="925" spans="2:12" ht="16.5">
      <c r="B925" s="747" t="s">
        <v>1056</v>
      </c>
      <c r="C925" s="455"/>
      <c r="D925" s="455">
        <v>1</v>
      </c>
      <c r="E925" s="59">
        <v>0.2</v>
      </c>
      <c r="F925" s="456">
        <v>350</v>
      </c>
      <c r="G925" s="457"/>
      <c r="H925" s="21"/>
      <c r="I925" s="55"/>
      <c r="J925" s="458"/>
      <c r="K925" s="354"/>
      <c r="L925" s="649">
        <f>PRODUCT(C925:K925)</f>
        <v>70</v>
      </c>
    </row>
    <row r="926" spans="2:12" ht="15">
      <c r="B926" s="746"/>
      <c r="C926" s="19"/>
      <c r="D926" s="20"/>
      <c r="E926" s="20"/>
      <c r="F926" s="47"/>
      <c r="G926" s="57"/>
      <c r="H926" s="21"/>
      <c r="I926" s="55"/>
      <c r="J926" s="56"/>
      <c r="K926" s="17"/>
      <c r="L926" s="649"/>
    </row>
    <row r="927" spans="2:12" ht="16.5">
      <c r="B927" s="731"/>
      <c r="C927" s="19"/>
      <c r="D927" s="20"/>
      <c r="E927" s="20"/>
      <c r="F927" s="47"/>
      <c r="G927" s="20"/>
      <c r="H927" s="21"/>
      <c r="I927" s="41"/>
      <c r="J927" s="46"/>
      <c r="K927" s="17"/>
      <c r="L927" s="649"/>
    </row>
    <row r="928" spans="2:12" ht="15.75">
      <c r="B928" s="1002" t="s">
        <v>414</v>
      </c>
      <c r="C928" s="1003"/>
      <c r="D928" s="1003"/>
      <c r="E928" s="1003"/>
      <c r="F928" s="1003"/>
      <c r="G928" s="1003"/>
      <c r="H928" s="1003"/>
      <c r="I928" s="1003"/>
      <c r="J928" s="1003"/>
      <c r="K928" s="1003"/>
      <c r="L928" s="1004"/>
    </row>
    <row r="929" spans="2:12">
      <c r="B929" s="651"/>
      <c r="L929" s="652"/>
    </row>
    <row r="930" spans="2:12" ht="15.75">
      <c r="B930" s="638" t="s">
        <v>398</v>
      </c>
      <c r="C930" s="8">
        <v>3</v>
      </c>
      <c r="D930" s="1008" t="s">
        <v>1028</v>
      </c>
      <c r="E930" s="1009"/>
      <c r="F930" s="1009"/>
      <c r="G930" s="1009"/>
      <c r="H930" s="1009"/>
      <c r="I930" s="1009"/>
      <c r="J930" s="1009"/>
      <c r="K930" s="1009"/>
      <c r="L930" s="1010"/>
    </row>
    <row r="931" spans="2:12" ht="15">
      <c r="B931" s="1005"/>
      <c r="C931" s="1006"/>
      <c r="D931" s="1006"/>
      <c r="E931" s="1006"/>
      <c r="F931" s="1006"/>
      <c r="G931" s="1006"/>
      <c r="H931" s="1006"/>
      <c r="I931" s="1006"/>
      <c r="J931" s="1006"/>
      <c r="K931" s="1006"/>
      <c r="L931" s="1007"/>
    </row>
    <row r="932" spans="2:12" ht="31.5">
      <c r="B932" s="646" t="s">
        <v>399</v>
      </c>
      <c r="C932" s="11">
        <f>+'PROPUESTA ECONOMICA(Proponente)'!C48</f>
        <v>3.8</v>
      </c>
      <c r="D932" s="12" t="str">
        <f>+VLOOKUP('MEMORIAS DE CANTIDADES'!C932,'PROPUESTA ECONOMICA(Proponente)'!$C$21:$H$310,5,FALSE)</f>
        <v>Losa Graderías e=0,10, Concreto f¨c = 4000 PS  (incluye suministro e instalación)</v>
      </c>
      <c r="E932" s="13"/>
      <c r="F932" s="12"/>
      <c r="G932" s="12"/>
      <c r="H932" s="12"/>
      <c r="I932" s="11" t="s">
        <v>400</v>
      </c>
      <c r="J932" s="12" t="str">
        <f>+VLOOKUP('MEMORIAS DE CANTIDADES'!C932,'PROPUESTA ECONOMICA(Proponente)'!$C$21:$H$310,6,FALSE)</f>
        <v>M2</v>
      </c>
      <c r="K932" s="11" t="s">
        <v>401</v>
      </c>
      <c r="L932" s="643">
        <f>SUM(L933:L944)</f>
        <v>761.01599999999996</v>
      </c>
    </row>
    <row r="933" spans="2:12" ht="15">
      <c r="B933" s="644"/>
      <c r="C933" s="16"/>
      <c r="D933" s="15"/>
      <c r="E933" s="15"/>
      <c r="F933" s="15"/>
      <c r="G933" s="15"/>
      <c r="H933" s="15"/>
      <c r="I933" s="15"/>
      <c r="J933" s="15"/>
      <c r="K933" s="17"/>
      <c r="L933" s="645"/>
    </row>
    <row r="934" spans="2:12" ht="47.25">
      <c r="B934" s="646" t="s">
        <v>402</v>
      </c>
      <c r="C934" s="18" t="s">
        <v>403</v>
      </c>
      <c r="D934" s="18" t="s">
        <v>404</v>
      </c>
      <c r="E934" s="18" t="s">
        <v>405</v>
      </c>
      <c r="F934" s="18" t="s">
        <v>406</v>
      </c>
      <c r="G934" s="18" t="s">
        <v>407</v>
      </c>
      <c r="H934" s="5" t="s">
        <v>408</v>
      </c>
      <c r="I934" s="18" t="s">
        <v>409</v>
      </c>
      <c r="J934" s="5" t="s">
        <v>410</v>
      </c>
      <c r="K934" s="5" t="s">
        <v>411</v>
      </c>
      <c r="L934" s="647" t="s">
        <v>412</v>
      </c>
    </row>
    <row r="935" spans="2:12" ht="15.75">
      <c r="B935" s="739" t="s">
        <v>734</v>
      </c>
      <c r="C935" s="18"/>
      <c r="D935" s="18"/>
      <c r="E935" s="59"/>
      <c r="F935" s="45"/>
      <c r="G935" s="18"/>
      <c r="H935" s="5"/>
      <c r="I935" s="55"/>
      <c r="J935" s="56"/>
      <c r="K935" s="5"/>
      <c r="L935" s="649"/>
    </row>
    <row r="936" spans="2:12" ht="15.75">
      <c r="B936" s="745" t="s">
        <v>512</v>
      </c>
      <c r="C936" s="18"/>
      <c r="D936" s="59">
        <v>4.8</v>
      </c>
      <c r="E936" s="59"/>
      <c r="F936" s="45">
        <v>43.21</v>
      </c>
      <c r="G936" s="18"/>
      <c r="H936" s="5"/>
      <c r="I936" s="55"/>
      <c r="J936" s="56"/>
      <c r="K936" s="5"/>
      <c r="L936" s="649">
        <f t="shared" ref="L936:L943" si="61">PRODUCT(C936:K936)</f>
        <v>207.40799999999999</v>
      </c>
    </row>
    <row r="937" spans="2:12" ht="15.75">
      <c r="B937" s="745" t="s">
        <v>513</v>
      </c>
      <c r="C937" s="18"/>
      <c r="D937" s="59">
        <v>4.8</v>
      </c>
      <c r="E937" s="59"/>
      <c r="F937" s="45">
        <v>43.21</v>
      </c>
      <c r="G937" s="18"/>
      <c r="H937" s="5"/>
      <c r="I937" s="55"/>
      <c r="J937" s="56"/>
      <c r="K937" s="5"/>
      <c r="L937" s="649">
        <f t="shared" si="61"/>
        <v>207.40799999999999</v>
      </c>
    </row>
    <row r="938" spans="2:12" ht="15.75">
      <c r="B938" s="745"/>
      <c r="C938" s="18"/>
      <c r="D938" s="59"/>
      <c r="E938" s="59"/>
      <c r="F938" s="45"/>
      <c r="G938" s="18"/>
      <c r="H938" s="5"/>
      <c r="I938" s="55"/>
      <c r="J938" s="56"/>
      <c r="K938" s="5"/>
      <c r="L938" s="649">
        <f t="shared" si="61"/>
        <v>0</v>
      </c>
    </row>
    <row r="939" spans="2:12" ht="15.75">
      <c r="B939" s="744" t="s">
        <v>659</v>
      </c>
      <c r="C939" s="18"/>
      <c r="D939" s="59"/>
      <c r="E939" s="59"/>
      <c r="F939" s="45"/>
      <c r="G939" s="18"/>
      <c r="H939" s="5"/>
      <c r="I939" s="55"/>
      <c r="J939" s="56"/>
      <c r="K939" s="5"/>
      <c r="L939" s="649">
        <f t="shared" si="61"/>
        <v>0</v>
      </c>
    </row>
    <row r="940" spans="2:12" ht="15.75">
      <c r="B940" s="745" t="s">
        <v>512</v>
      </c>
      <c r="C940" s="18"/>
      <c r="D940" s="59">
        <v>4.8</v>
      </c>
      <c r="E940" s="59"/>
      <c r="F940" s="45">
        <v>59</v>
      </c>
      <c r="G940" s="18"/>
      <c r="H940" s="5"/>
      <c r="I940" s="55"/>
      <c r="J940" s="56"/>
      <c r="K940" s="5"/>
      <c r="L940" s="649">
        <f t="shared" si="61"/>
        <v>283.2</v>
      </c>
    </row>
    <row r="941" spans="2:12" ht="15.75">
      <c r="B941" s="745"/>
      <c r="C941" s="18"/>
      <c r="D941" s="59"/>
      <c r="E941" s="59"/>
      <c r="F941" s="45"/>
      <c r="G941" s="18"/>
      <c r="H941" s="5"/>
      <c r="I941" s="55"/>
      <c r="J941" s="56"/>
      <c r="K941" s="5"/>
      <c r="L941" s="649"/>
    </row>
    <row r="942" spans="2:12" ht="15.75">
      <c r="B942" s="745" t="s">
        <v>517</v>
      </c>
      <c r="C942" s="18"/>
      <c r="D942" s="59">
        <v>4.5</v>
      </c>
      <c r="E942" s="59"/>
      <c r="F942" s="45">
        <v>3.5</v>
      </c>
      <c r="G942" s="18"/>
      <c r="H942" s="5"/>
      <c r="I942" s="55">
        <v>4</v>
      </c>
      <c r="J942" s="56"/>
      <c r="K942" s="5"/>
      <c r="L942" s="656">
        <f>PRODUCT(C942:K942)</f>
        <v>63</v>
      </c>
    </row>
    <row r="943" spans="2:12" ht="15.75">
      <c r="B943" s="745"/>
      <c r="C943" s="18"/>
      <c r="D943" s="59"/>
      <c r="E943" s="59"/>
      <c r="F943" s="45"/>
      <c r="G943" s="18"/>
      <c r="H943" s="5"/>
      <c r="I943" s="55"/>
      <c r="J943" s="56"/>
      <c r="K943" s="5"/>
      <c r="L943" s="649">
        <f t="shared" si="61"/>
        <v>0</v>
      </c>
    </row>
    <row r="944" spans="2:12" ht="15.75">
      <c r="B944" s="1002" t="s">
        <v>414</v>
      </c>
      <c r="C944" s="1003"/>
      <c r="D944" s="1003"/>
      <c r="E944" s="1003"/>
      <c r="F944" s="1003"/>
      <c r="G944" s="1003"/>
      <c r="H944" s="1003"/>
      <c r="I944" s="1003"/>
      <c r="J944" s="1003"/>
      <c r="K944" s="1003"/>
      <c r="L944" s="1004"/>
    </row>
    <row r="945" spans="2:12">
      <c r="B945" s="651"/>
      <c r="L945" s="652"/>
    </row>
    <row r="946" spans="2:12" ht="15.75">
      <c r="B946" s="638" t="s">
        <v>398</v>
      </c>
      <c r="C946" s="8">
        <v>3</v>
      </c>
      <c r="D946" s="1008" t="s">
        <v>1028</v>
      </c>
      <c r="E946" s="1009"/>
      <c r="F946" s="1009"/>
      <c r="G946" s="1009"/>
      <c r="H946" s="1009"/>
      <c r="I946" s="1009"/>
      <c r="J946" s="1009"/>
      <c r="K946" s="1009"/>
      <c r="L946" s="1010"/>
    </row>
    <row r="947" spans="2:12" ht="15">
      <c r="B947" s="1005"/>
      <c r="C947" s="1006"/>
      <c r="D947" s="1006"/>
      <c r="E947" s="1006"/>
      <c r="F947" s="1006"/>
      <c r="G947" s="1006"/>
      <c r="H947" s="1006"/>
      <c r="I947" s="1006"/>
      <c r="J947" s="1006"/>
      <c r="K947" s="1006"/>
      <c r="L947" s="1007"/>
    </row>
    <row r="948" spans="2:12" ht="31.5">
      <c r="B948" s="646" t="s">
        <v>399</v>
      </c>
      <c r="C948" s="29">
        <f>+'PROPUESTA ECONOMICA(Proponente)'!C49</f>
        <v>3.9</v>
      </c>
      <c r="D948" s="12" t="str">
        <f>+VLOOKUP('MEMORIAS DE CANTIDADES'!C948,'PROPUESTA ECONOMICA(Proponente)'!$C$21:$H$310,5,FALSE)</f>
        <v>Losa  e=0,060, Concreto f¨c = 4000 PS  (incluye suministro e instalación)</v>
      </c>
      <c r="E948" s="13"/>
      <c r="F948" s="12"/>
      <c r="G948" s="12"/>
      <c r="H948" s="12"/>
      <c r="I948" s="11" t="s">
        <v>400</v>
      </c>
      <c r="J948" s="12" t="str">
        <f>+VLOOKUP('MEMORIAS DE CANTIDADES'!C948,'PROPUESTA ECONOMICA(Proponente)'!$C$21:$H$310,6,FALSE)</f>
        <v>M2</v>
      </c>
      <c r="K948" s="11" t="s">
        <v>401</v>
      </c>
      <c r="L948" s="643">
        <f>SUM(L949:L957)</f>
        <v>116.24800000000002</v>
      </c>
    </row>
    <row r="949" spans="2:12" ht="15">
      <c r="B949" s="644"/>
      <c r="C949" s="16"/>
      <c r="D949" s="15"/>
      <c r="E949" s="15"/>
      <c r="F949" s="15"/>
      <c r="G949" s="15"/>
      <c r="H949" s="15"/>
      <c r="I949" s="15"/>
      <c r="J949" s="15"/>
      <c r="K949" s="17"/>
      <c r="L949" s="645"/>
    </row>
    <row r="950" spans="2:12" ht="47.25">
      <c r="B950" s="646" t="s">
        <v>402</v>
      </c>
      <c r="C950" s="18" t="s">
        <v>403</v>
      </c>
      <c r="D950" s="18" t="s">
        <v>404</v>
      </c>
      <c r="E950" s="18" t="s">
        <v>405</v>
      </c>
      <c r="F950" s="18" t="s">
        <v>406</v>
      </c>
      <c r="G950" s="18" t="s">
        <v>407</v>
      </c>
      <c r="H950" s="5" t="s">
        <v>408</v>
      </c>
      <c r="I950" s="18" t="s">
        <v>409</v>
      </c>
      <c r="J950" s="5" t="s">
        <v>410</v>
      </c>
      <c r="K950" s="5" t="s">
        <v>411</v>
      </c>
      <c r="L950" s="647" t="s">
        <v>412</v>
      </c>
    </row>
    <row r="951" spans="2:12" ht="15.75">
      <c r="B951" s="715" t="s">
        <v>514</v>
      </c>
      <c r="C951" s="18"/>
      <c r="D951" s="50"/>
      <c r="E951" s="50"/>
      <c r="F951" s="18"/>
      <c r="G951" s="18"/>
      <c r="H951" s="5"/>
      <c r="I951" s="18"/>
      <c r="J951" s="5"/>
      <c r="K951" s="5"/>
      <c r="L951" s="748"/>
    </row>
    <row r="952" spans="2:12" ht="15.75">
      <c r="B952" s="734" t="s">
        <v>935</v>
      </c>
      <c r="C952" s="18"/>
      <c r="D952" s="59">
        <v>4.4000000000000004</v>
      </c>
      <c r="E952" s="59"/>
      <c r="F952" s="48">
        <v>13.21</v>
      </c>
      <c r="G952" s="18"/>
      <c r="H952" s="5"/>
      <c r="I952" s="48">
        <v>2</v>
      </c>
      <c r="J952" s="5"/>
      <c r="K952" s="5"/>
      <c r="L952" s="656">
        <f>PRODUCT(C952:K952)</f>
        <v>116.24800000000002</v>
      </c>
    </row>
    <row r="953" spans="2:12" ht="15" customHeight="1">
      <c r="B953" s="745"/>
      <c r="C953" s="18"/>
      <c r="D953" s="59"/>
      <c r="E953" s="59"/>
      <c r="F953" s="45"/>
      <c r="G953" s="18"/>
      <c r="H953" s="5"/>
      <c r="I953" s="55"/>
      <c r="J953" s="56"/>
      <c r="K953" s="5"/>
      <c r="L953" s="656"/>
    </row>
    <row r="954" spans="2:12" ht="15.75">
      <c r="B954" s="745"/>
      <c r="C954" s="18"/>
      <c r="D954" s="59"/>
      <c r="E954" s="59"/>
      <c r="F954" s="45"/>
      <c r="G954" s="18"/>
      <c r="H954" s="5"/>
      <c r="I954" s="55"/>
      <c r="J954" s="56"/>
      <c r="K954" s="5"/>
      <c r="L954" s="656"/>
    </row>
    <row r="955" spans="2:12">
      <c r="B955" s="651"/>
      <c r="L955" s="652"/>
    </row>
    <row r="956" spans="2:12" ht="15.75">
      <c r="B956" s="745"/>
      <c r="C956" s="18"/>
      <c r="D956" s="59"/>
      <c r="E956" s="59"/>
      <c r="F956" s="45"/>
      <c r="G956" s="18"/>
      <c r="H956" s="5"/>
      <c r="I956" s="55"/>
      <c r="J956" s="56"/>
      <c r="K956" s="5"/>
      <c r="L956" s="656"/>
    </row>
    <row r="957" spans="2:12" ht="15.75">
      <c r="B957" s="1002" t="s">
        <v>414</v>
      </c>
      <c r="C957" s="1003"/>
      <c r="D957" s="1003"/>
      <c r="E957" s="1003"/>
      <c r="F957" s="1003"/>
      <c r="G957" s="1003"/>
      <c r="H957" s="1003"/>
      <c r="I957" s="1003"/>
      <c r="J957" s="1003"/>
      <c r="K957" s="1003"/>
      <c r="L957" s="1004"/>
    </row>
    <row r="958" spans="2:12">
      <c r="B958" s="651"/>
      <c r="L958" s="652"/>
    </row>
    <row r="959" spans="2:12" ht="15.75">
      <c r="B959" s="638" t="s">
        <v>398</v>
      </c>
      <c r="C959" s="8">
        <v>3</v>
      </c>
      <c r="D959" s="1008" t="s">
        <v>1028</v>
      </c>
      <c r="E959" s="1009"/>
      <c r="F959" s="1009"/>
      <c r="G959" s="1009"/>
      <c r="H959" s="1009"/>
      <c r="I959" s="1009"/>
      <c r="J959" s="1009"/>
      <c r="K959" s="1009"/>
      <c r="L959" s="1010"/>
    </row>
    <row r="960" spans="2:12" ht="15">
      <c r="B960" s="1005"/>
      <c r="C960" s="1006"/>
      <c r="D960" s="1006"/>
      <c r="E960" s="1006"/>
      <c r="F960" s="1006"/>
      <c r="G960" s="1006"/>
      <c r="H960" s="1006"/>
      <c r="I960" s="1006"/>
      <c r="J960" s="1006"/>
      <c r="K960" s="1006"/>
      <c r="L960" s="1007"/>
    </row>
    <row r="961" spans="2:12" ht="31.5">
      <c r="B961" s="653" t="s">
        <v>399</v>
      </c>
      <c r="C961" s="29" t="str">
        <f>+'PROPUESTA ECONOMICA(Proponente)'!C50</f>
        <v>3.10</v>
      </c>
      <c r="D961" s="12" t="str">
        <f>+VLOOKUP('MEMORIAS DE CANTIDADES'!C961,'PROPUESTA ECONOMICA(Proponente)'!$C$21:$H$310,5,FALSE)</f>
        <v>Losa Graderías e=0,15, Concreto f¨c = 4000 PS  (incluye suministro e instalación)</v>
      </c>
      <c r="E961" s="13"/>
      <c r="F961" s="12"/>
      <c r="G961" s="12"/>
      <c r="H961" s="12"/>
      <c r="I961" s="11" t="s">
        <v>400</v>
      </c>
      <c r="J961" s="12" t="str">
        <f>+VLOOKUP('MEMORIAS DE CANTIDADES'!C961,'PROPUESTA ECONOMICA(Proponente)'!$C$21:$H$310,6,FALSE)</f>
        <v>M2</v>
      </c>
      <c r="K961" s="11" t="s">
        <v>401</v>
      </c>
      <c r="L961" s="643">
        <f>SUM(L962:L975)</f>
        <v>1117.3936000000001</v>
      </c>
    </row>
    <row r="962" spans="2:12" ht="15">
      <c r="B962" s="644"/>
      <c r="C962" s="16"/>
      <c r="D962" s="15"/>
      <c r="E962" s="15"/>
      <c r="F962" s="15"/>
      <c r="G962" s="15"/>
      <c r="H962" s="15"/>
      <c r="I962" s="15"/>
      <c r="J962" s="15"/>
      <c r="K962" s="17"/>
      <c r="L962" s="645"/>
    </row>
    <row r="963" spans="2:12" ht="47.25">
      <c r="B963" s="646" t="s">
        <v>402</v>
      </c>
      <c r="C963" s="18" t="s">
        <v>403</v>
      </c>
      <c r="D963" s="18" t="s">
        <v>404</v>
      </c>
      <c r="E963" s="18" t="s">
        <v>405</v>
      </c>
      <c r="F963" s="18" t="s">
        <v>406</v>
      </c>
      <c r="G963" s="18" t="s">
        <v>407</v>
      </c>
      <c r="H963" s="5" t="s">
        <v>408</v>
      </c>
      <c r="I963" s="18" t="s">
        <v>409</v>
      </c>
      <c r="J963" s="5" t="s">
        <v>410</v>
      </c>
      <c r="K963" s="5" t="s">
        <v>411</v>
      </c>
      <c r="L963" s="647" t="s">
        <v>412</v>
      </c>
    </row>
    <row r="964" spans="2:12" ht="15.75">
      <c r="B964" s="744" t="s">
        <v>514</v>
      </c>
      <c r="C964" s="18"/>
      <c r="D964" s="59"/>
      <c r="E964" s="59"/>
      <c r="F964" s="45"/>
      <c r="G964" s="18"/>
      <c r="H964" s="5"/>
      <c r="I964" s="55"/>
      <c r="J964" s="56"/>
      <c r="K964" s="5"/>
      <c r="L964" s="649"/>
    </row>
    <row r="965" spans="2:12" ht="15.75">
      <c r="B965" s="745" t="s">
        <v>518</v>
      </c>
      <c r="C965" s="18"/>
      <c r="D965" s="59">
        <v>6.2</v>
      </c>
      <c r="E965" s="59"/>
      <c r="F965" s="45">
        <v>22.7</v>
      </c>
      <c r="G965" s="18"/>
      <c r="H965" s="5"/>
      <c r="I965" s="55">
        <v>2</v>
      </c>
      <c r="J965" s="56"/>
      <c r="K965" s="5"/>
      <c r="L965" s="649">
        <f t="shared" ref="L965" si="62">PRODUCT(C965:K965)</f>
        <v>281.48</v>
      </c>
    </row>
    <row r="966" spans="2:12" ht="15.75">
      <c r="B966" s="745"/>
      <c r="C966" s="18"/>
      <c r="D966" s="59"/>
      <c r="E966" s="59"/>
      <c r="F966" s="45"/>
      <c r="G966" s="18"/>
      <c r="H966" s="5"/>
      <c r="I966" s="55"/>
      <c r="J966" s="56"/>
      <c r="K966" s="5"/>
      <c r="L966" s="649"/>
    </row>
    <row r="967" spans="2:12" ht="15.75">
      <c r="B967" s="744" t="s">
        <v>598</v>
      </c>
      <c r="C967" s="18"/>
      <c r="D967" s="59">
        <v>3.48</v>
      </c>
      <c r="E967" s="59"/>
      <c r="F967" s="45">
        <v>45.46</v>
      </c>
      <c r="G967" s="18"/>
      <c r="H967" s="5"/>
      <c r="I967" s="55">
        <v>2</v>
      </c>
      <c r="J967" s="56"/>
      <c r="K967" s="5"/>
      <c r="L967" s="649">
        <f>PRODUCT(C967:K967)</f>
        <v>316.40160000000003</v>
      </c>
    </row>
    <row r="968" spans="2:12" ht="15.75">
      <c r="B968" s="745"/>
      <c r="C968" s="18"/>
      <c r="D968" s="59"/>
      <c r="E968" s="59"/>
      <c r="F968" s="45"/>
      <c r="G968" s="18"/>
      <c r="H968" s="5"/>
      <c r="I968" s="55"/>
      <c r="J968" s="56"/>
      <c r="K968" s="5"/>
      <c r="L968" s="649"/>
    </row>
    <row r="969" spans="2:12" ht="15.75">
      <c r="B969" s="744" t="s">
        <v>659</v>
      </c>
      <c r="C969" s="18"/>
      <c r="D969" s="59">
        <v>3.48</v>
      </c>
      <c r="E969" s="59"/>
      <c r="F969" s="45">
        <v>61.4</v>
      </c>
      <c r="G969" s="18"/>
      <c r="H969" s="5"/>
      <c r="I969" s="55">
        <v>1</v>
      </c>
      <c r="J969" s="56"/>
      <c r="K969" s="5"/>
      <c r="L969" s="649">
        <f t="shared" ref="L969:L974" si="63">PRODUCT(C969:K969)</f>
        <v>213.672</v>
      </c>
    </row>
    <row r="970" spans="2:12" ht="15.75">
      <c r="B970" s="744"/>
      <c r="C970" s="18"/>
      <c r="D970" s="59"/>
      <c r="E970" s="59"/>
      <c r="F970" s="45"/>
      <c r="G970" s="18"/>
      <c r="H970" s="5"/>
      <c r="I970" s="55"/>
      <c r="J970" s="56"/>
      <c r="K970" s="5"/>
      <c r="L970" s="649"/>
    </row>
    <row r="971" spans="2:12" ht="15.75">
      <c r="B971" s="744"/>
      <c r="C971" s="18"/>
      <c r="D971" s="59"/>
      <c r="E971" s="59"/>
      <c r="F971" s="45"/>
      <c r="G971" s="18"/>
      <c r="H971" s="5"/>
      <c r="I971" s="55"/>
      <c r="J971" s="56"/>
      <c r="K971" s="5"/>
      <c r="L971" s="649"/>
    </row>
    <row r="972" spans="2:12" ht="15.75">
      <c r="B972" s="745" t="s">
        <v>517</v>
      </c>
      <c r="C972" s="18"/>
      <c r="D972" s="59">
        <v>4.5</v>
      </c>
      <c r="E972" s="59"/>
      <c r="F972" s="45">
        <v>5.5</v>
      </c>
      <c r="G972" s="18"/>
      <c r="H972" s="5"/>
      <c r="I972" s="55">
        <v>4</v>
      </c>
      <c r="J972" s="56"/>
      <c r="K972" s="5"/>
      <c r="L972" s="656">
        <f>PRODUCT(C972:K972)</f>
        <v>99</v>
      </c>
    </row>
    <row r="973" spans="2:12" ht="15.75">
      <c r="B973" s="744"/>
      <c r="C973" s="18"/>
      <c r="D973" s="59"/>
      <c r="E973" s="59"/>
      <c r="F973" s="45"/>
      <c r="G973" s="18"/>
      <c r="H973" s="5"/>
      <c r="I973" s="55"/>
      <c r="J973" s="56"/>
      <c r="K973" s="5"/>
      <c r="L973" s="649"/>
    </row>
    <row r="974" spans="2:12" ht="15.75">
      <c r="B974" s="744" t="s">
        <v>594</v>
      </c>
      <c r="C974" s="18">
        <v>103.42</v>
      </c>
      <c r="D974" s="59"/>
      <c r="E974" s="59"/>
      <c r="F974" s="45"/>
      <c r="G974" s="18"/>
      <c r="H974" s="5"/>
      <c r="I974" s="55">
        <v>2</v>
      </c>
      <c r="J974" s="56"/>
      <c r="K974" s="5"/>
      <c r="L974" s="649">
        <f t="shared" si="63"/>
        <v>206.84</v>
      </c>
    </row>
    <row r="975" spans="2:12" ht="15.75">
      <c r="B975" s="1002" t="s">
        <v>414</v>
      </c>
      <c r="C975" s="1003"/>
      <c r="D975" s="1003"/>
      <c r="E975" s="1003"/>
      <c r="F975" s="1003"/>
      <c r="G975" s="1003"/>
      <c r="H975" s="1003"/>
      <c r="I975" s="1003"/>
      <c r="J975" s="1003"/>
      <c r="K975" s="1003"/>
      <c r="L975" s="1004"/>
    </row>
    <row r="976" spans="2:12">
      <c r="B976" s="651"/>
      <c r="L976" s="652"/>
    </row>
    <row r="977" spans="2:15" ht="15.75">
      <c r="B977" s="638" t="s">
        <v>398</v>
      </c>
      <c r="C977" s="8">
        <v>3</v>
      </c>
      <c r="D977" s="1008" t="s">
        <v>1028</v>
      </c>
      <c r="E977" s="1009"/>
      <c r="F977" s="1009"/>
      <c r="G977" s="1009"/>
      <c r="H977" s="1009"/>
      <c r="I977" s="1009"/>
      <c r="J977" s="1009"/>
      <c r="K977" s="1009"/>
      <c r="L977" s="1010"/>
    </row>
    <row r="978" spans="2:15" ht="15">
      <c r="B978" s="1005"/>
      <c r="C978" s="1006"/>
      <c r="D978" s="1006"/>
      <c r="E978" s="1006"/>
      <c r="F978" s="1006"/>
      <c r="G978" s="1006"/>
      <c r="H978" s="1006"/>
      <c r="I978" s="1006"/>
      <c r="J978" s="1006"/>
      <c r="K978" s="1006"/>
      <c r="L978" s="1007"/>
    </row>
    <row r="979" spans="2:15" ht="47.25">
      <c r="B979" s="642" t="s">
        <v>399</v>
      </c>
      <c r="C979" s="29">
        <f>+'PROPUESTA ECONOMICA(Proponente)'!C51</f>
        <v>3.11</v>
      </c>
      <c r="D979" s="12" t="str">
        <f>+VLOOKUP('MEMORIAS DE CANTIDADES'!C979,'PROPUESTA ECONOMICA(Proponente)'!$C$21:$H$310,5,FALSE)</f>
        <v>CONCRETO PARA TANQUE DE AGUA POTABLE 4000 PSI., (Incluye suministro, formaletería e instalación).</v>
      </c>
      <c r="E979" s="13"/>
      <c r="F979" s="12"/>
      <c r="G979" s="12"/>
      <c r="H979" s="12"/>
      <c r="I979" s="11" t="s">
        <v>400</v>
      </c>
      <c r="J979" s="12" t="str">
        <f>+VLOOKUP('MEMORIAS DE CANTIDADES'!C979,'PROPUESTA ECONOMICA(Proponente)'!$C$21:$H$310,6,FALSE)</f>
        <v>m3</v>
      </c>
      <c r="K979" s="11" t="s">
        <v>401</v>
      </c>
      <c r="L979" s="643">
        <f>SUM(L980:L987)</f>
        <v>78.597999999999999</v>
      </c>
      <c r="N979" s="384"/>
      <c r="O979" s="384"/>
    </row>
    <row r="980" spans="2:15" ht="15">
      <c r="B980" s="644"/>
      <c r="C980" s="16"/>
      <c r="D980" s="15"/>
      <c r="E980" s="15"/>
      <c r="F980" s="15"/>
      <c r="G980" s="15"/>
      <c r="H980" s="15"/>
      <c r="I980" s="15"/>
      <c r="J980" s="15"/>
      <c r="K980" s="17"/>
      <c r="L980" s="645"/>
    </row>
    <row r="981" spans="2:15" ht="47.25">
      <c r="B981" s="646" t="s">
        <v>402</v>
      </c>
      <c r="C981" s="18" t="s">
        <v>403</v>
      </c>
      <c r="D981" s="18" t="s">
        <v>404</v>
      </c>
      <c r="E981" s="18" t="s">
        <v>405</v>
      </c>
      <c r="F981" s="18" t="s">
        <v>406</v>
      </c>
      <c r="G981" s="18" t="s">
        <v>407</v>
      </c>
      <c r="H981" s="5" t="s">
        <v>408</v>
      </c>
      <c r="I981" s="18" t="s">
        <v>409</v>
      </c>
      <c r="J981" s="5" t="s">
        <v>410</v>
      </c>
      <c r="K981" s="5" t="s">
        <v>411</v>
      </c>
      <c r="L981" s="647" t="s">
        <v>412</v>
      </c>
    </row>
    <row r="982" spans="2:15" ht="15.75">
      <c r="B982" s="715" t="s">
        <v>481</v>
      </c>
      <c r="C982" s="20">
        <v>7.42</v>
      </c>
      <c r="D982" s="19"/>
      <c r="E982" s="48"/>
      <c r="F982" s="47">
        <v>5</v>
      </c>
      <c r="G982" s="57"/>
      <c r="H982" s="21"/>
      <c r="I982" s="55"/>
      <c r="J982" s="56"/>
      <c r="K982" s="5"/>
      <c r="L982" s="649">
        <f>PRODUCT(C982:K982)</f>
        <v>37.1</v>
      </c>
    </row>
    <row r="983" spans="2:15" ht="15.75">
      <c r="B983" s="734" t="s">
        <v>804</v>
      </c>
      <c r="C983" s="20">
        <v>2.87</v>
      </c>
      <c r="D983" s="39"/>
      <c r="E983" s="39"/>
      <c r="F983" s="47">
        <v>2.7</v>
      </c>
      <c r="G983" s="39"/>
      <c r="H983" s="39"/>
      <c r="I983" s="39">
        <v>2</v>
      </c>
      <c r="J983" s="56"/>
      <c r="K983" s="5"/>
      <c r="L983" s="649">
        <f>PRODUCT(C983:K983)</f>
        <v>15.498000000000001</v>
      </c>
      <c r="N983" s="384"/>
    </row>
    <row r="984" spans="2:15" ht="15.75">
      <c r="B984" s="745"/>
      <c r="C984" s="385"/>
      <c r="D984" s="59"/>
      <c r="E984" s="59"/>
      <c r="F984" s="45"/>
      <c r="G984" s="18"/>
      <c r="H984" s="5"/>
      <c r="I984" s="55"/>
      <c r="J984" s="56"/>
      <c r="K984" s="5"/>
      <c r="L984" s="649"/>
    </row>
    <row r="985" spans="2:15" ht="15.75">
      <c r="B985" s="749" t="s">
        <v>933</v>
      </c>
      <c r="C985" s="20"/>
      <c r="D985" s="59">
        <v>0.25</v>
      </c>
      <c r="E985" s="59">
        <v>2.6</v>
      </c>
      <c r="F985" s="45">
        <v>40</v>
      </c>
      <c r="G985" s="18"/>
      <c r="H985" s="5"/>
      <c r="I985" s="55"/>
      <c r="J985" s="56"/>
      <c r="K985" s="5"/>
      <c r="L985" s="649">
        <f t="shared" ref="L985" si="64">PRODUCT(C985:K985)</f>
        <v>26</v>
      </c>
    </row>
    <row r="986" spans="2:15" ht="15.75">
      <c r="B986" s="745"/>
      <c r="C986" s="18"/>
      <c r="D986" s="59"/>
      <c r="E986" s="59"/>
      <c r="F986" s="45"/>
      <c r="G986" s="18"/>
      <c r="H986" s="5"/>
      <c r="I986" s="55"/>
      <c r="J986" s="56"/>
      <c r="K986" s="5"/>
      <c r="L986" s="649"/>
    </row>
    <row r="987" spans="2:15" ht="15.75">
      <c r="B987" s="1002" t="s">
        <v>414</v>
      </c>
      <c r="C987" s="1003"/>
      <c r="D987" s="1003"/>
      <c r="E987" s="1003"/>
      <c r="F987" s="1003"/>
      <c r="G987" s="1003"/>
      <c r="H987" s="1003"/>
      <c r="I987" s="1003"/>
      <c r="J987" s="1003"/>
      <c r="K987" s="1003"/>
      <c r="L987" s="1004"/>
    </row>
    <row r="988" spans="2:15">
      <c r="B988" s="651"/>
      <c r="L988" s="652"/>
    </row>
    <row r="989" spans="2:15">
      <c r="B989" s="651"/>
      <c r="L989" s="652"/>
    </row>
    <row r="990" spans="2:15" ht="15.6" customHeight="1">
      <c r="B990" s="638" t="s">
        <v>398</v>
      </c>
      <c r="C990" s="8">
        <v>4</v>
      </c>
      <c r="D990" s="1008" t="s">
        <v>917</v>
      </c>
      <c r="E990" s="1009"/>
      <c r="F990" s="1009"/>
      <c r="G990" s="1009"/>
      <c r="H990" s="1009"/>
      <c r="I990" s="1009"/>
      <c r="J990" s="1014"/>
      <c r="K990" s="27"/>
      <c r="L990" s="750"/>
    </row>
    <row r="991" spans="2:15" ht="15">
      <c r="B991" s="1005"/>
      <c r="C991" s="1006"/>
      <c r="D991" s="1006"/>
      <c r="E991" s="1006"/>
      <c r="F991" s="1006"/>
      <c r="G991" s="1006"/>
      <c r="H991" s="1006"/>
      <c r="I991" s="1006"/>
      <c r="J991" s="1006"/>
      <c r="K991" s="1006"/>
      <c r="L991" s="1007"/>
    </row>
    <row r="992" spans="2:15" ht="46.9" customHeight="1">
      <c r="B992" s="642" t="s">
        <v>399</v>
      </c>
      <c r="C992" s="25">
        <f>+'PROPUESTA ECONOMICA(Proponente)'!C54</f>
        <v>4.0999999999999996</v>
      </c>
      <c r="D992" s="12" t="str">
        <f>+VLOOKUP('MEMORIAS DE CANTIDADES'!C992,'PROPUESTA ECONOMICA(Proponente)'!$C$21:$H$310,5,FALSE)</f>
        <v>EXCAVACIONES MECANICAS VARIAS EN MATERIAL COMUN SECO (Incluye cargue, transporte y disposición final).</v>
      </c>
      <c r="E992" s="13"/>
      <c r="F992" s="12"/>
      <c r="G992" s="12"/>
      <c r="H992" s="12"/>
      <c r="I992" s="11" t="s">
        <v>400</v>
      </c>
      <c r="J992" s="12" t="str">
        <f>+VLOOKUP('MEMORIAS DE CANTIDADES'!C992,'PROPUESTA ECONOMICA(Proponente)'!$C$21:$H$310,6,FALSE)</f>
        <v>m3</v>
      </c>
      <c r="K992" s="11" t="s">
        <v>401</v>
      </c>
      <c r="L992" s="643">
        <f>SUM(L993:L999)</f>
        <v>5954.2560000000003</v>
      </c>
    </row>
    <row r="993" spans="2:13" ht="15">
      <c r="B993" s="644"/>
      <c r="C993" s="16"/>
      <c r="D993" s="15"/>
      <c r="E993" s="15"/>
      <c r="F993" s="15"/>
      <c r="G993" s="15"/>
      <c r="H993" s="15"/>
      <c r="I993" s="15"/>
      <c r="J993" s="15"/>
      <c r="K993" s="17"/>
      <c r="L993" s="645"/>
    </row>
    <row r="994" spans="2:13" ht="47.25">
      <c r="B994" s="646" t="s">
        <v>402</v>
      </c>
      <c r="C994" s="18" t="s">
        <v>403</v>
      </c>
      <c r="D994" s="18" t="s">
        <v>404</v>
      </c>
      <c r="E994" s="18" t="s">
        <v>405</v>
      </c>
      <c r="F994" s="18" t="s">
        <v>406</v>
      </c>
      <c r="G994" s="18" t="s">
        <v>407</v>
      </c>
      <c r="H994" s="5" t="s">
        <v>408</v>
      </c>
      <c r="I994" s="18" t="s">
        <v>409</v>
      </c>
      <c r="J994" s="5" t="s">
        <v>410</v>
      </c>
      <c r="K994" s="5" t="s">
        <v>411</v>
      </c>
      <c r="L994" s="647" t="s">
        <v>412</v>
      </c>
    </row>
    <row r="995" spans="2:13" ht="15">
      <c r="B995" s="648" t="s">
        <v>598</v>
      </c>
      <c r="C995" s="269"/>
      <c r="D995" s="269">
        <v>70</v>
      </c>
      <c r="E995" s="20">
        <v>0.4</v>
      </c>
      <c r="F995" s="269">
        <v>110</v>
      </c>
      <c r="G995" s="270"/>
      <c r="H995" s="271"/>
      <c r="I995" s="17"/>
      <c r="J995" s="28"/>
      <c r="K995" s="28">
        <v>1.1000000000000001</v>
      </c>
      <c r="L995" s="656">
        <f>PRODUCT(C995:K995)</f>
        <v>3388.0000000000005</v>
      </c>
    </row>
    <row r="996" spans="2:13" ht="15">
      <c r="B996" s="648" t="s">
        <v>659</v>
      </c>
      <c r="C996" s="270">
        <v>5186</v>
      </c>
      <c r="D996" s="269"/>
      <c r="E996" s="20">
        <v>0.4</v>
      </c>
      <c r="F996" s="269"/>
      <c r="G996" s="270"/>
      <c r="H996" s="270"/>
      <c r="I996" s="270"/>
      <c r="J996" s="269"/>
      <c r="K996" s="28">
        <v>1.1000000000000001</v>
      </c>
      <c r="L996" s="656">
        <f t="shared" ref="L996" si="65">PRODUCT(C996:K996)</f>
        <v>2281.84</v>
      </c>
    </row>
    <row r="997" spans="2:13" ht="15">
      <c r="B997" s="650" t="s">
        <v>782</v>
      </c>
      <c r="C997" s="270"/>
      <c r="D997" s="270">
        <v>20.2</v>
      </c>
      <c r="E997" s="20">
        <v>0.4</v>
      </c>
      <c r="F997" s="270">
        <v>32</v>
      </c>
      <c r="G997" s="270"/>
      <c r="H997" s="270"/>
      <c r="I997" s="270"/>
      <c r="J997" s="269"/>
      <c r="K997" s="28">
        <v>1.1000000000000001</v>
      </c>
      <c r="L997" s="656">
        <f>PRODUCT(C997:K997)</f>
        <v>284.41600000000005</v>
      </c>
    </row>
    <row r="998" spans="2:13" ht="15">
      <c r="B998" s="650"/>
      <c r="C998" s="20"/>
      <c r="D998" s="20"/>
      <c r="E998" s="20"/>
      <c r="F998" s="20"/>
      <c r="G998" s="20"/>
      <c r="H998" s="19"/>
      <c r="I998" s="20"/>
      <c r="J998" s="19"/>
      <c r="K998" s="17"/>
      <c r="L998" s="649"/>
    </row>
    <row r="999" spans="2:13" ht="15">
      <c r="B999" s="650"/>
      <c r="C999" s="20"/>
      <c r="D999" s="20"/>
      <c r="E999" s="20"/>
      <c r="F999" s="20"/>
      <c r="G999" s="20"/>
      <c r="H999" s="19"/>
      <c r="I999" s="20"/>
      <c r="J999" s="19"/>
      <c r="K999" s="17"/>
      <c r="L999" s="649"/>
    </row>
    <row r="1000" spans="2:13">
      <c r="B1000" s="651"/>
      <c r="L1000" s="652"/>
    </row>
    <row r="1001" spans="2:13" ht="15.6" customHeight="1">
      <c r="B1001" s="638" t="s">
        <v>398</v>
      </c>
      <c r="C1001" s="8">
        <v>4</v>
      </c>
      <c r="D1001" s="1008" t="s">
        <v>917</v>
      </c>
      <c r="E1001" s="1009"/>
      <c r="F1001" s="1009"/>
      <c r="G1001" s="1009"/>
      <c r="H1001" s="1009"/>
      <c r="I1001" s="1009"/>
      <c r="J1001" s="1014"/>
      <c r="K1001" s="27"/>
      <c r="L1001" s="750"/>
    </row>
    <row r="1002" spans="2:13" ht="15">
      <c r="B1002" s="1005"/>
      <c r="C1002" s="1006"/>
      <c r="D1002" s="1006"/>
      <c r="E1002" s="1006"/>
      <c r="F1002" s="1006"/>
      <c r="G1002" s="1006"/>
      <c r="H1002" s="1006"/>
      <c r="I1002" s="1006"/>
      <c r="J1002" s="1006"/>
      <c r="K1002" s="1006"/>
      <c r="L1002" s="1007"/>
    </row>
    <row r="1003" spans="2:13" ht="31.15" customHeight="1">
      <c r="B1003" s="642" t="s">
        <v>399</v>
      </c>
      <c r="C1003" s="25">
        <f>+'PROPUESTA ECONOMICA(Proponente)'!C55</f>
        <v>4.2</v>
      </c>
      <c r="D1003" s="12" t="str">
        <f>+VLOOKUP('MEMORIAS DE CANTIDADES'!C1003,'PROPUESTA ECONOMICA(Proponente)'!$C$21:$H$310,5,FALSE)</f>
        <v>EXCAVACIONES: (Excavación manual incluye cargue, transporte y disposición final)</v>
      </c>
      <c r="E1003" s="13"/>
      <c r="F1003" s="12"/>
      <c r="G1003" s="12"/>
      <c r="H1003" s="12"/>
      <c r="I1003" s="11" t="s">
        <v>400</v>
      </c>
      <c r="J1003" s="12" t="str">
        <f>+VLOOKUP('MEMORIAS DE CANTIDADES'!C1003,'PROPUESTA ECONOMICA(Proponente)'!$C$21:$H$310,6,FALSE)</f>
        <v>m3</v>
      </c>
      <c r="K1003" s="11" t="s">
        <v>401</v>
      </c>
      <c r="L1003" s="643">
        <f>SUM(L1004:L1017)</f>
        <v>2202.7896000000005</v>
      </c>
    </row>
    <row r="1004" spans="2:13" ht="15">
      <c r="B1004" s="644"/>
      <c r="C1004" s="16"/>
      <c r="D1004" s="15"/>
      <c r="E1004" s="15"/>
      <c r="F1004" s="15"/>
      <c r="G1004" s="15"/>
      <c r="H1004" s="15"/>
      <c r="I1004" s="15"/>
      <c r="J1004" s="15"/>
      <c r="K1004" s="17"/>
      <c r="L1004" s="645"/>
    </row>
    <row r="1005" spans="2:13" ht="47.25">
      <c r="B1005" s="646" t="s">
        <v>402</v>
      </c>
      <c r="C1005" s="18" t="s">
        <v>403</v>
      </c>
      <c r="D1005" s="18" t="s">
        <v>404</v>
      </c>
      <c r="E1005" s="18" t="s">
        <v>405</v>
      </c>
      <c r="F1005" s="18" t="s">
        <v>406</v>
      </c>
      <c r="G1005" s="18" t="s">
        <v>407</v>
      </c>
      <c r="H1005" s="5" t="s">
        <v>408</v>
      </c>
      <c r="I1005" s="18" t="s">
        <v>409</v>
      </c>
      <c r="J1005" s="5" t="s">
        <v>410</v>
      </c>
      <c r="K1005" s="5" t="s">
        <v>411</v>
      </c>
      <c r="L1005" s="647" t="s">
        <v>412</v>
      </c>
    </row>
    <row r="1006" spans="2:13" ht="15">
      <c r="B1006" s="650" t="s">
        <v>598</v>
      </c>
      <c r="C1006" s="19" t="s">
        <v>1065</v>
      </c>
      <c r="D1006" s="19">
        <v>0.9</v>
      </c>
      <c r="E1006" s="20">
        <v>1</v>
      </c>
      <c r="F1006" s="19">
        <f>285+68*2</f>
        <v>421</v>
      </c>
      <c r="G1006" s="20"/>
      <c r="H1006" s="21"/>
      <c r="I1006" s="17"/>
      <c r="J1006" s="28">
        <v>2</v>
      </c>
      <c r="K1006" s="28">
        <v>1.1000000000000001</v>
      </c>
      <c r="L1006" s="649">
        <f>PRODUCT(C1006:K1006)</f>
        <v>833.58000000000015</v>
      </c>
      <c r="M1006" s="281"/>
    </row>
    <row r="1007" spans="2:13" ht="15">
      <c r="B1007" s="650"/>
      <c r="C1007" s="19" t="s">
        <v>937</v>
      </c>
      <c r="D1007" s="19">
        <v>0.8</v>
      </c>
      <c r="E1007" s="20">
        <v>1.2</v>
      </c>
      <c r="F1007" s="19">
        <f>65*2+130</f>
        <v>260</v>
      </c>
      <c r="G1007" s="20"/>
      <c r="H1007" s="21"/>
      <c r="I1007" s="17"/>
      <c r="J1007" s="28"/>
      <c r="K1007" s="28">
        <v>1.1000000000000001</v>
      </c>
      <c r="L1007" s="649">
        <f t="shared" ref="L1007:L1011" si="66">PRODUCT(C1007:K1007)</f>
        <v>274.56</v>
      </c>
    </row>
    <row r="1008" spans="2:13" ht="15">
      <c r="B1008" s="650"/>
      <c r="C1008" s="19" t="s">
        <v>522</v>
      </c>
      <c r="D1008" s="19">
        <v>0.8</v>
      </c>
      <c r="E1008" s="20">
        <v>1.2</v>
      </c>
      <c r="F1008" s="19">
        <v>63.1</v>
      </c>
      <c r="G1008" s="20"/>
      <c r="H1008" s="21"/>
      <c r="I1008" s="17"/>
      <c r="J1008" s="28">
        <v>1</v>
      </c>
      <c r="K1008" s="28">
        <v>1.1000000000000001</v>
      </c>
      <c r="L1008" s="649">
        <f>PRODUCT(C1008:K1008)</f>
        <v>66.633600000000001</v>
      </c>
    </row>
    <row r="1009" spans="2:12" ht="15">
      <c r="B1009" s="650"/>
      <c r="C1009" s="20"/>
      <c r="D1009" s="19"/>
      <c r="E1009" s="39"/>
      <c r="F1009" s="19"/>
      <c r="G1009" s="20"/>
      <c r="H1009" s="20"/>
      <c r="I1009" s="20"/>
      <c r="J1009" s="19"/>
      <c r="K1009" s="28">
        <v>1.1000000000000001</v>
      </c>
      <c r="L1009" s="649"/>
    </row>
    <row r="1010" spans="2:12" ht="15">
      <c r="B1010" s="650" t="s">
        <v>659</v>
      </c>
      <c r="C1010" s="19" t="s">
        <v>520</v>
      </c>
      <c r="D1010" s="19">
        <v>0.9</v>
      </c>
      <c r="E1010" s="39">
        <v>1</v>
      </c>
      <c r="F1010" s="19">
        <v>260</v>
      </c>
      <c r="G1010" s="20"/>
      <c r="H1010" s="20"/>
      <c r="I1010" s="20"/>
      <c r="J1010" s="19">
        <v>2</v>
      </c>
      <c r="K1010" s="28">
        <v>1.1000000000000001</v>
      </c>
      <c r="L1010" s="649">
        <f>PRODUCT(C1010:K1010)</f>
        <v>514.80000000000007</v>
      </c>
    </row>
    <row r="1011" spans="2:12" ht="15">
      <c r="B1011" s="655"/>
      <c r="C1011" s="19" t="s">
        <v>937</v>
      </c>
      <c r="D1011" s="20">
        <v>0.8</v>
      </c>
      <c r="E1011" s="20">
        <v>1.2</v>
      </c>
      <c r="F1011" s="20"/>
      <c r="G1011" s="20"/>
      <c r="H1011" s="19"/>
      <c r="I1011" s="20"/>
      <c r="J1011" s="19"/>
      <c r="K1011" s="28">
        <v>1.1000000000000001</v>
      </c>
      <c r="L1011" s="649">
        <f t="shared" si="66"/>
        <v>1.056</v>
      </c>
    </row>
    <row r="1012" spans="2:12" ht="15">
      <c r="B1012" s="650"/>
      <c r="C1012" s="19" t="s">
        <v>522</v>
      </c>
      <c r="D1012" s="20">
        <v>0.8</v>
      </c>
      <c r="E1012" s="20">
        <v>1.2</v>
      </c>
      <c r="F1012" s="20">
        <v>30</v>
      </c>
      <c r="G1012" s="20"/>
      <c r="H1012" s="19"/>
      <c r="I1012" s="20"/>
      <c r="J1012" s="19"/>
      <c r="K1012" s="28">
        <v>1.1000000000000001</v>
      </c>
      <c r="L1012" s="649">
        <f>PRODUCT(C1012:K1012)</f>
        <v>31.68</v>
      </c>
    </row>
    <row r="1013" spans="2:12" ht="15">
      <c r="B1013" s="650"/>
      <c r="C1013" s="19"/>
      <c r="D1013" s="20"/>
      <c r="E1013" s="20"/>
      <c r="F1013" s="20"/>
      <c r="G1013" s="20"/>
      <c r="H1013" s="19"/>
      <c r="I1013" s="20"/>
      <c r="J1013" s="19"/>
      <c r="K1013" s="28">
        <v>1.1000000000000001</v>
      </c>
      <c r="L1013" s="649"/>
    </row>
    <row r="1014" spans="2:12" ht="15">
      <c r="B1014" s="650" t="s">
        <v>983</v>
      </c>
      <c r="C1014" s="19" t="s">
        <v>520</v>
      </c>
      <c r="D1014" s="20">
        <v>0.9</v>
      </c>
      <c r="E1014" s="20">
        <v>1.2</v>
      </c>
      <c r="F1014" s="20">
        <v>210</v>
      </c>
      <c r="G1014" s="20"/>
      <c r="H1014" s="19"/>
      <c r="I1014" s="20">
        <v>1</v>
      </c>
      <c r="J1014" s="24"/>
      <c r="K1014" s="28">
        <v>1.1000000000000001</v>
      </c>
      <c r="L1014" s="649">
        <f>PRODUCT(C1014:K1014)</f>
        <v>249.48000000000005</v>
      </c>
    </row>
    <row r="1015" spans="2:12" ht="15">
      <c r="B1015" s="650"/>
      <c r="C1015" s="19"/>
      <c r="D1015" s="20"/>
      <c r="E1015" s="20"/>
      <c r="F1015" s="20"/>
      <c r="G1015" s="20"/>
      <c r="H1015" s="19"/>
      <c r="I1015" s="20"/>
      <c r="J1015" s="19"/>
      <c r="K1015" s="28">
        <v>1.1000000000000001</v>
      </c>
      <c r="L1015" s="649"/>
    </row>
    <row r="1016" spans="2:12" ht="30">
      <c r="B1016" s="751" t="s">
        <v>1055</v>
      </c>
      <c r="C1016" s="19">
        <v>1</v>
      </c>
      <c r="D1016" s="19">
        <v>0.6</v>
      </c>
      <c r="E1016" s="19"/>
      <c r="F1016" s="19">
        <v>350</v>
      </c>
      <c r="G1016" s="20"/>
      <c r="H1016" s="20"/>
      <c r="I1016" s="17"/>
      <c r="J1016" s="20"/>
      <c r="K1016" s="17">
        <v>1.1000000000000001</v>
      </c>
      <c r="L1016" s="649">
        <f>PRODUCT(C1016:K1016)</f>
        <v>231.00000000000003</v>
      </c>
    </row>
    <row r="1017" spans="2:12" ht="15.75">
      <c r="B1017" s="981" t="s">
        <v>414</v>
      </c>
      <c r="C1017" s="982"/>
      <c r="D1017" s="982"/>
      <c r="E1017" s="982"/>
      <c r="F1017" s="982"/>
      <c r="G1017" s="982"/>
      <c r="H1017" s="982"/>
      <c r="I1017" s="982"/>
      <c r="J1017" s="982"/>
      <c r="K1017" s="982"/>
      <c r="L1017" s="983"/>
    </row>
    <row r="1018" spans="2:12">
      <c r="B1018" s="651"/>
      <c r="L1018" s="652"/>
    </row>
    <row r="1019" spans="2:12" ht="15.6" customHeight="1">
      <c r="B1019" s="638" t="s">
        <v>398</v>
      </c>
      <c r="C1019" s="8">
        <v>4</v>
      </c>
      <c r="D1019" s="1008" t="s">
        <v>917</v>
      </c>
      <c r="E1019" s="1009"/>
      <c r="F1019" s="1009"/>
      <c r="G1019" s="1009"/>
      <c r="H1019" s="1009"/>
      <c r="I1019" s="1009"/>
      <c r="J1019" s="1014"/>
      <c r="K1019" s="27"/>
      <c r="L1019" s="750"/>
    </row>
    <row r="1020" spans="2:12" ht="15">
      <c r="B1020" s="1005"/>
      <c r="C1020" s="1006"/>
      <c r="D1020" s="1006"/>
      <c r="E1020" s="1006"/>
      <c r="F1020" s="1006"/>
      <c r="G1020" s="1006"/>
      <c r="H1020" s="1006"/>
      <c r="I1020" s="1006"/>
      <c r="J1020" s="1006"/>
      <c r="K1020" s="1006"/>
      <c r="L1020" s="1007"/>
    </row>
    <row r="1021" spans="2:12" ht="35.25" customHeight="1">
      <c r="B1021" s="642" t="s">
        <v>399</v>
      </c>
      <c r="C1021" s="25">
        <f>+'PROPUESTA ECONOMICA(Proponente)'!C56</f>
        <v>4.3</v>
      </c>
      <c r="D1021" s="1015" t="str">
        <f>+VLOOKUP('MEMORIAS DE CANTIDADES'!C1021,'PROPUESTA ECONOMICA(Proponente)'!$C$21:$H$310,5,FALSE)</f>
        <v>Conformación de subrasante por compactación simple.</v>
      </c>
      <c r="E1021" s="1016"/>
      <c r="F1021" s="1016"/>
      <c r="G1021" s="1016"/>
      <c r="H1021" s="1017"/>
      <c r="I1021" s="11" t="s">
        <v>400</v>
      </c>
      <c r="J1021" s="12" t="str">
        <f>+VLOOKUP('MEMORIAS DE CANTIDADES'!C1021,'PROPUESTA ECONOMICA(Proponente)'!$C$21:$H$310,6,FALSE)</f>
        <v>m2</v>
      </c>
      <c r="K1021" s="11" t="s">
        <v>401</v>
      </c>
      <c r="L1021" s="643">
        <f>SUM(L1022:L1029)</f>
        <v>13596.4</v>
      </c>
    </row>
    <row r="1022" spans="2:12" ht="15">
      <c r="B1022" s="644"/>
      <c r="C1022" s="16"/>
      <c r="D1022" s="15"/>
      <c r="E1022" s="15"/>
      <c r="F1022" s="15"/>
      <c r="G1022" s="15"/>
      <c r="H1022" s="15"/>
      <c r="I1022" s="15"/>
      <c r="J1022" s="15"/>
      <c r="K1022" s="17"/>
      <c r="L1022" s="645"/>
    </row>
    <row r="1023" spans="2:12" ht="47.25">
      <c r="B1023" s="646" t="s">
        <v>402</v>
      </c>
      <c r="C1023" s="18" t="s">
        <v>403</v>
      </c>
      <c r="D1023" s="18" t="s">
        <v>404</v>
      </c>
      <c r="E1023" s="18" t="s">
        <v>405</v>
      </c>
      <c r="F1023" s="18" t="s">
        <v>406</v>
      </c>
      <c r="G1023" s="18" t="s">
        <v>407</v>
      </c>
      <c r="H1023" s="5" t="s">
        <v>408</v>
      </c>
      <c r="I1023" s="18" t="s">
        <v>409</v>
      </c>
      <c r="J1023" s="5" t="s">
        <v>410</v>
      </c>
      <c r="K1023" s="5" t="s">
        <v>411</v>
      </c>
      <c r="L1023" s="647" t="s">
        <v>412</v>
      </c>
    </row>
    <row r="1024" spans="2:12" ht="15">
      <c r="B1024" s="648" t="s">
        <v>598</v>
      </c>
      <c r="C1024" s="19"/>
      <c r="D1024" s="19">
        <v>70</v>
      </c>
      <c r="E1024" s="19"/>
      <c r="F1024" s="19">
        <v>110</v>
      </c>
      <c r="G1024" s="20"/>
      <c r="H1024" s="21"/>
      <c r="I1024" s="17"/>
      <c r="J1024" s="22"/>
      <c r="K1024" s="17"/>
      <c r="L1024" s="649">
        <f>PRODUCT(C1024:K1024)</f>
        <v>7700</v>
      </c>
    </row>
    <row r="1025" spans="2:13" ht="15">
      <c r="B1025" s="648" t="s">
        <v>659</v>
      </c>
      <c r="C1025" s="270">
        <v>5186</v>
      </c>
      <c r="D1025" s="19"/>
      <c r="E1025" s="19"/>
      <c r="F1025" s="19"/>
      <c r="G1025" s="20"/>
      <c r="H1025" s="20"/>
      <c r="I1025" s="20"/>
      <c r="J1025" s="24"/>
      <c r="K1025" s="17"/>
      <c r="L1025" s="649">
        <f>PRODUCT(C1025:K1025)</f>
        <v>5186</v>
      </c>
    </row>
    <row r="1026" spans="2:13" ht="15">
      <c r="B1026" s="650" t="s">
        <v>782</v>
      </c>
      <c r="C1026" s="20"/>
      <c r="D1026" s="20">
        <v>22.2</v>
      </c>
      <c r="E1026" s="20"/>
      <c r="F1026" s="20">
        <v>32</v>
      </c>
      <c r="G1026" s="20"/>
      <c r="H1026" s="20"/>
      <c r="I1026" s="20"/>
      <c r="J1026" s="24"/>
      <c r="K1026" s="17"/>
      <c r="L1026" s="649">
        <f>PRODUCT(C1026:K1026)</f>
        <v>710.4</v>
      </c>
    </row>
    <row r="1027" spans="2:13" ht="15">
      <c r="B1027" s="650"/>
      <c r="C1027" s="20"/>
      <c r="D1027" s="20"/>
      <c r="E1027" s="20"/>
      <c r="F1027" s="20"/>
      <c r="G1027" s="20"/>
      <c r="H1027" s="19"/>
      <c r="I1027" s="20"/>
      <c r="J1027" s="24"/>
      <c r="K1027" s="17"/>
      <c r="L1027" s="649"/>
    </row>
    <row r="1028" spans="2:13" ht="15">
      <c r="B1028" s="650"/>
      <c r="C1028" s="20"/>
      <c r="D1028" s="20"/>
      <c r="E1028" s="20"/>
      <c r="F1028" s="20"/>
      <c r="G1028" s="20"/>
      <c r="H1028" s="19"/>
      <c r="I1028" s="20"/>
      <c r="J1028" s="24"/>
      <c r="K1028" s="17"/>
      <c r="L1028" s="645"/>
    </row>
    <row r="1029" spans="2:13" ht="15.75">
      <c r="B1029" s="1002" t="s">
        <v>414</v>
      </c>
      <c r="C1029" s="1003"/>
      <c r="D1029" s="1003"/>
      <c r="E1029" s="1003"/>
      <c r="F1029" s="1003"/>
      <c r="G1029" s="1003"/>
      <c r="H1029" s="1003"/>
      <c r="I1029" s="1003"/>
      <c r="J1029" s="1003"/>
      <c r="K1029" s="1003"/>
      <c r="L1029" s="1004"/>
    </row>
    <row r="1030" spans="2:13">
      <c r="B1030" s="651"/>
      <c r="L1030" s="652"/>
    </row>
    <row r="1031" spans="2:13" ht="15.75">
      <c r="B1031" s="638" t="s">
        <v>398</v>
      </c>
      <c r="C1031" s="8">
        <v>4</v>
      </c>
      <c r="D1031" s="9" t="s">
        <v>917</v>
      </c>
      <c r="E1031" s="9"/>
      <c r="F1031" s="9"/>
      <c r="G1031" s="9"/>
      <c r="H1031" s="9"/>
      <c r="I1031" s="9"/>
      <c r="J1031" s="9"/>
      <c r="K1031" s="10"/>
      <c r="L1031" s="639"/>
    </row>
    <row r="1032" spans="2:13" ht="15">
      <c r="B1032" s="1005"/>
      <c r="C1032" s="1006"/>
      <c r="D1032" s="1006"/>
      <c r="E1032" s="1006"/>
      <c r="F1032" s="1006"/>
      <c r="G1032" s="1006"/>
      <c r="H1032" s="1006"/>
      <c r="I1032" s="1006"/>
      <c r="J1032" s="1006"/>
      <c r="K1032" s="1006"/>
      <c r="L1032" s="1007"/>
    </row>
    <row r="1033" spans="2:13" ht="78.75">
      <c r="B1033" s="653" t="s">
        <v>399</v>
      </c>
      <c r="C1033" s="25">
        <f>+'PROPUESTA ECONOMICA(Proponente)'!C57</f>
        <v>4.4000000000000004</v>
      </c>
      <c r="D1033" s="12" t="str">
        <f>+VLOOKUP('MEMORIAS DE CANTIDADES'!C1033,'PROPUESTA ECONOMICA(Proponente)'!$C$21:$H$310,5,FALSE)</f>
        <v>Material de mejoramiento según estudio de suelo e=0.30 m, compactado al 95% del Proctor estándar y conformación de la superficie de drenaje con pendientes de 0,5% en dirección a filtros. (Incluye suministro e instalación).</v>
      </c>
      <c r="E1033" s="13"/>
      <c r="F1033" s="12"/>
      <c r="G1033" s="12"/>
      <c r="H1033" s="12"/>
      <c r="I1033" s="11" t="s">
        <v>400</v>
      </c>
      <c r="J1033" s="12" t="str">
        <f>+VLOOKUP('MEMORIAS DE CANTIDADES'!C1033,'PROPUESTA ECONOMICA(Proponente)'!$C$21:$H$310,6,FALSE)</f>
        <v>m3</v>
      </c>
      <c r="K1033" s="11" t="s">
        <v>401</v>
      </c>
      <c r="L1033" s="643">
        <f>SUM(L1034:L1041)</f>
        <v>9103.3915080000006</v>
      </c>
    </row>
    <row r="1034" spans="2:13" ht="15">
      <c r="B1034" s="644"/>
      <c r="C1034" s="16"/>
      <c r="D1034" s="15"/>
      <c r="E1034" s="15"/>
      <c r="F1034" s="15"/>
      <c r="G1034" s="15"/>
      <c r="H1034" s="15"/>
      <c r="I1034" s="15"/>
      <c r="J1034" s="15"/>
      <c r="K1034" s="17"/>
      <c r="L1034" s="645"/>
    </row>
    <row r="1035" spans="2:13" ht="47.25">
      <c r="B1035" s="646" t="s">
        <v>402</v>
      </c>
      <c r="C1035" s="18" t="s">
        <v>403</v>
      </c>
      <c r="D1035" s="18" t="s">
        <v>404</v>
      </c>
      <c r="E1035" s="18" t="s">
        <v>405</v>
      </c>
      <c r="F1035" s="18" t="s">
        <v>406</v>
      </c>
      <c r="G1035" s="18" t="s">
        <v>407</v>
      </c>
      <c r="H1035" s="5" t="s">
        <v>408</v>
      </c>
      <c r="I1035" s="18" t="s">
        <v>409</v>
      </c>
      <c r="J1035" s="5" t="s">
        <v>410</v>
      </c>
      <c r="K1035" s="5" t="s">
        <v>411</v>
      </c>
      <c r="L1035" s="647" t="s">
        <v>412</v>
      </c>
    </row>
    <row r="1036" spans="2:13" ht="15">
      <c r="B1036" s="648" t="s">
        <v>598</v>
      </c>
      <c r="C1036" s="19"/>
      <c r="D1036" s="73">
        <v>60</v>
      </c>
      <c r="E1036" s="19">
        <v>0.8</v>
      </c>
      <c r="F1036" s="73">
        <v>78.866051287878804</v>
      </c>
      <c r="G1036" s="20"/>
      <c r="H1036" s="21"/>
      <c r="I1036" s="17">
        <v>1.1000000000000001</v>
      </c>
      <c r="J1036" s="22"/>
      <c r="K1036" s="28"/>
      <c r="L1036" s="649">
        <f>PRODUCT(C1036:K1036)</f>
        <v>4164.1275080000014</v>
      </c>
      <c r="M1036">
        <v>9103.3915075481509</v>
      </c>
    </row>
    <row r="1037" spans="2:13" ht="15">
      <c r="B1037" s="648" t="s">
        <v>659</v>
      </c>
      <c r="C1037" s="270">
        <v>5186</v>
      </c>
      <c r="D1037" s="19"/>
      <c r="E1037" s="19">
        <v>0.7</v>
      </c>
      <c r="F1037" s="19"/>
      <c r="G1037" s="20"/>
      <c r="H1037" s="20"/>
      <c r="I1037" s="17">
        <v>1.1000000000000001</v>
      </c>
      <c r="J1037" s="24"/>
      <c r="K1037" s="28"/>
      <c r="L1037" s="649">
        <f>PRODUCT(C1037:K1037)</f>
        <v>3993.2200000000003</v>
      </c>
    </row>
    <row r="1038" spans="2:13" ht="15">
      <c r="B1038" s="650" t="s">
        <v>782</v>
      </c>
      <c r="C1038" s="20"/>
      <c r="D1038" s="20">
        <v>27</v>
      </c>
      <c r="E1038" s="19">
        <v>0.7</v>
      </c>
      <c r="F1038" s="20">
        <v>42</v>
      </c>
      <c r="G1038" s="20"/>
      <c r="H1038" s="20"/>
      <c r="I1038" s="17">
        <v>1.1000000000000001</v>
      </c>
      <c r="J1038" s="24"/>
      <c r="K1038" s="28"/>
      <c r="L1038" s="649">
        <f>PRODUCT(C1038:K1038)</f>
        <v>873.18000000000006</v>
      </c>
    </row>
    <row r="1039" spans="2:13" ht="15">
      <c r="B1039" s="650"/>
      <c r="C1039" s="20"/>
      <c r="D1039" s="20"/>
      <c r="E1039" s="20"/>
      <c r="F1039" s="20"/>
      <c r="G1039" s="20"/>
      <c r="H1039" s="19"/>
      <c r="I1039" s="20"/>
      <c r="J1039" s="24"/>
      <c r="K1039" s="17"/>
      <c r="L1039" s="649"/>
    </row>
    <row r="1040" spans="2:13" ht="30">
      <c r="B1040" s="650" t="s">
        <v>1055</v>
      </c>
      <c r="C1040" s="19"/>
      <c r="D1040" s="20">
        <v>0.2</v>
      </c>
      <c r="E1040" s="20">
        <v>0.6</v>
      </c>
      <c r="F1040" s="20">
        <v>552</v>
      </c>
      <c r="G1040" s="20"/>
      <c r="H1040" s="19"/>
      <c r="I1040" s="17"/>
      <c r="J1040" s="19"/>
      <c r="K1040" s="28">
        <v>1.1000000000000001</v>
      </c>
      <c r="L1040" s="649">
        <f>PRODUCT(C1040:K1040)</f>
        <v>72.864000000000004</v>
      </c>
    </row>
    <row r="1041" spans="2:12" ht="15.75">
      <c r="B1041" s="1002" t="s">
        <v>414</v>
      </c>
      <c r="C1041" s="1003"/>
      <c r="D1041" s="1003"/>
      <c r="E1041" s="1003"/>
      <c r="F1041" s="1003"/>
      <c r="G1041" s="1003"/>
      <c r="H1041" s="1003"/>
      <c r="I1041" s="1003"/>
      <c r="J1041" s="1003"/>
      <c r="K1041" s="1003"/>
      <c r="L1041" s="1004"/>
    </row>
    <row r="1042" spans="2:12">
      <c r="B1042" s="651"/>
      <c r="L1042" s="652"/>
    </row>
    <row r="1043" spans="2:12">
      <c r="B1043" s="651"/>
      <c r="L1043" s="652"/>
    </row>
    <row r="1044" spans="2:12" ht="15.75">
      <c r="B1044" s="638" t="s">
        <v>398</v>
      </c>
      <c r="C1044" s="8">
        <v>4.5</v>
      </c>
      <c r="D1044" s="9" t="s">
        <v>917</v>
      </c>
      <c r="E1044" s="9"/>
      <c r="F1044" s="9"/>
      <c r="G1044" s="9"/>
      <c r="H1044" s="9"/>
      <c r="I1044" s="9"/>
      <c r="J1044" s="9"/>
      <c r="K1044" s="10"/>
      <c r="L1044" s="639"/>
    </row>
    <row r="1045" spans="2:12" ht="15">
      <c r="B1045" s="1005"/>
      <c r="C1045" s="1006"/>
      <c r="D1045" s="1006"/>
      <c r="E1045" s="1006"/>
      <c r="F1045" s="1006"/>
      <c r="G1045" s="1006"/>
      <c r="H1045" s="1006"/>
      <c r="I1045" s="1006"/>
      <c r="J1045" s="1006"/>
      <c r="K1045" s="1006"/>
      <c r="L1045" s="1007"/>
    </row>
    <row r="1046" spans="2:12" ht="47.25">
      <c r="B1046" s="752" t="s">
        <v>399</v>
      </c>
      <c r="C1046" s="25">
        <f>+'PROPUESTA ECONOMICA(Proponente)'!C58</f>
        <v>4.5</v>
      </c>
      <c r="D1046" s="12" t="str">
        <f>+VLOOKUP('MEMORIAS DE CANTIDADES'!C1046,'PROPUESTA ECONOMICA(Proponente)'!$C$21:$H$310,5,FALSE)</f>
        <v>Geomembrana homogénea PEAD 30 mils, con resistencia a la intemperie,  impermeabilizante, (Incluye suministro e instalación).</v>
      </c>
      <c r="E1046" s="13"/>
      <c r="F1046" s="12"/>
      <c r="G1046" s="12"/>
      <c r="H1046" s="12"/>
      <c r="I1046" s="11" t="s">
        <v>400</v>
      </c>
      <c r="J1046" s="12" t="str">
        <f>+VLOOKUP('MEMORIAS DE CANTIDADES'!C1046,'PROPUESTA ECONOMICA(Proponente)'!$C$21:$H$310,6,FALSE)</f>
        <v>M2</v>
      </c>
      <c r="K1046" s="11" t="s">
        <v>401</v>
      </c>
      <c r="L1046" s="643">
        <f>SUM(L1047:L1054)</f>
        <v>13191.200000000003</v>
      </c>
    </row>
    <row r="1047" spans="2:12" ht="15">
      <c r="B1047" s="644"/>
      <c r="C1047" s="16"/>
      <c r="D1047" s="15"/>
      <c r="E1047" s="15"/>
      <c r="F1047" s="15"/>
      <c r="G1047" s="15"/>
      <c r="H1047" s="15"/>
      <c r="I1047" s="15"/>
      <c r="J1047" s="15"/>
      <c r="K1047" s="17"/>
      <c r="L1047" s="645"/>
    </row>
    <row r="1048" spans="2:12" ht="47.25">
      <c r="B1048" s="646" t="s">
        <v>402</v>
      </c>
      <c r="C1048" s="18" t="s">
        <v>403</v>
      </c>
      <c r="D1048" s="18" t="s">
        <v>404</v>
      </c>
      <c r="E1048" s="18" t="s">
        <v>405</v>
      </c>
      <c r="F1048" s="18" t="s">
        <v>406</v>
      </c>
      <c r="G1048" s="18" t="s">
        <v>407</v>
      </c>
      <c r="H1048" s="5" t="s">
        <v>408</v>
      </c>
      <c r="I1048" s="18" t="s">
        <v>409</v>
      </c>
      <c r="J1048" s="5" t="s">
        <v>410</v>
      </c>
      <c r="K1048" s="5" t="s">
        <v>411</v>
      </c>
      <c r="L1048" s="647" t="s">
        <v>412</v>
      </c>
    </row>
    <row r="1049" spans="2:12" ht="15">
      <c r="B1049" s="648" t="s">
        <v>598</v>
      </c>
      <c r="C1049" s="19"/>
      <c r="D1049" s="20">
        <v>50</v>
      </c>
      <c r="E1049" s="19"/>
      <c r="F1049" s="19">
        <v>110</v>
      </c>
      <c r="G1049" s="20"/>
      <c r="H1049" s="68"/>
      <c r="I1049" s="28">
        <v>1.1000000000000001</v>
      </c>
      <c r="J1049" s="22"/>
      <c r="K1049" s="17"/>
      <c r="L1049" s="649">
        <f>PRODUCT(C1049:K1049)</f>
        <v>6050.0000000000009</v>
      </c>
    </row>
    <row r="1050" spans="2:12" ht="15">
      <c r="B1050" s="648" t="s">
        <v>659</v>
      </c>
      <c r="C1050" s="270">
        <v>5186</v>
      </c>
      <c r="D1050" s="19"/>
      <c r="E1050" s="19"/>
      <c r="F1050" s="19"/>
      <c r="G1050" s="20"/>
      <c r="H1050" s="68"/>
      <c r="I1050" s="28">
        <v>1.1000000000000001</v>
      </c>
      <c r="J1050" s="24"/>
      <c r="K1050" s="17"/>
      <c r="L1050" s="649">
        <f>PRODUCT(C1050:K1050)</f>
        <v>5704.6</v>
      </c>
    </row>
    <row r="1051" spans="2:12" ht="15">
      <c r="B1051" s="650" t="s">
        <v>863</v>
      </c>
      <c r="C1051" s="20"/>
      <c r="D1051" s="20"/>
      <c r="E1051" s="19">
        <v>1</v>
      </c>
      <c r="F1051" s="19">
        <v>421</v>
      </c>
      <c r="G1051" s="20"/>
      <c r="H1051" s="20"/>
      <c r="I1051" s="28">
        <v>1.1000000000000001</v>
      </c>
      <c r="J1051" s="24"/>
      <c r="K1051" s="162">
        <v>2</v>
      </c>
      <c r="L1051" s="649">
        <f>PRODUCT(C1051:K1051)</f>
        <v>926.2</v>
      </c>
    </row>
    <row r="1052" spans="2:12" ht="15">
      <c r="B1052" s="650"/>
      <c r="C1052" s="20"/>
      <c r="D1052" s="20"/>
      <c r="E1052" s="19">
        <v>1</v>
      </c>
      <c r="F1052" s="19">
        <v>232</v>
      </c>
      <c r="G1052" s="20"/>
      <c r="H1052" s="19"/>
      <c r="I1052" s="28">
        <v>1.1000000000000001</v>
      </c>
      <c r="J1052" s="24"/>
      <c r="K1052" s="162">
        <v>2</v>
      </c>
      <c r="L1052" s="649">
        <f>PRODUCT(C1052:K1052)</f>
        <v>510.40000000000003</v>
      </c>
    </row>
    <row r="1053" spans="2:12" ht="15">
      <c r="B1053" s="650"/>
      <c r="C1053" s="20"/>
      <c r="D1053" s="20"/>
      <c r="E1053" s="20"/>
      <c r="F1053" s="20"/>
      <c r="G1053" s="20"/>
      <c r="H1053" s="19"/>
      <c r="I1053" s="20"/>
      <c r="J1053" s="24"/>
      <c r="K1053" s="17"/>
      <c r="L1053" s="645"/>
    </row>
    <row r="1054" spans="2:12" ht="15.75">
      <c r="B1054" s="1002" t="s">
        <v>414</v>
      </c>
      <c r="C1054" s="1003"/>
      <c r="D1054" s="1003"/>
      <c r="E1054" s="1003"/>
      <c r="F1054" s="1003"/>
      <c r="G1054" s="1003"/>
      <c r="H1054" s="1003"/>
      <c r="I1054" s="1003"/>
      <c r="J1054" s="1003"/>
      <c r="K1054" s="1003"/>
      <c r="L1054" s="1004"/>
    </row>
    <row r="1055" spans="2:12">
      <c r="B1055" s="651"/>
      <c r="L1055" s="652"/>
    </row>
    <row r="1056" spans="2:12" ht="15.75">
      <c r="B1056" s="638" t="s">
        <v>398</v>
      </c>
      <c r="C1056" s="8">
        <v>4.5</v>
      </c>
      <c r="D1056" s="9" t="s">
        <v>917</v>
      </c>
      <c r="E1056" s="9"/>
      <c r="F1056" s="9"/>
      <c r="G1056" s="9"/>
      <c r="H1056" s="9"/>
      <c r="I1056" s="9"/>
      <c r="J1056" s="9"/>
      <c r="K1056" s="10"/>
      <c r="L1056" s="639"/>
    </row>
    <row r="1057" spans="2:13" ht="15">
      <c r="B1057" s="1005"/>
      <c r="C1057" s="1006"/>
      <c r="D1057" s="1006"/>
      <c r="E1057" s="1006"/>
      <c r="F1057" s="1006"/>
      <c r="G1057" s="1006"/>
      <c r="H1057" s="1006"/>
      <c r="I1057" s="1006"/>
      <c r="J1057" s="1006"/>
      <c r="K1057" s="1006"/>
      <c r="L1057" s="1007"/>
    </row>
    <row r="1058" spans="2:13" ht="31.5">
      <c r="B1058" s="653" t="s">
        <v>399</v>
      </c>
      <c r="C1058" s="25">
        <f>+'PROPUESTA ECONOMICA(Proponente)'!C59</f>
        <v>4.5999999999999996</v>
      </c>
      <c r="D1058" s="12" t="str">
        <f>+VLOOKUP('MEMORIAS DE CANTIDADES'!C1058,'PROPUESTA ECONOMICA(Proponente)'!$C$21:$H$310,5,FALSE)</f>
        <v>Relleno triturado 1/2" - 1" filtrante 20 cm espesor, (Incluye suministro e instalación).</v>
      </c>
      <c r="E1058" s="13"/>
      <c r="F1058" s="12"/>
      <c r="G1058" s="12"/>
      <c r="H1058" s="12"/>
      <c r="I1058" s="11" t="s">
        <v>400</v>
      </c>
      <c r="J1058" s="12" t="str">
        <f>+VLOOKUP('MEMORIAS DE CANTIDADES'!C1058,'PROPUESTA ECONOMICA(Proponente)'!$C$21:$H$310,6,FALSE)</f>
        <v>m3</v>
      </c>
      <c r="K1058" s="11" t="s">
        <v>401</v>
      </c>
      <c r="L1058" s="643">
        <f>SUM(L1059:L1067)</f>
        <v>2682.42</v>
      </c>
    </row>
    <row r="1059" spans="2:13" ht="15">
      <c r="B1059" s="644"/>
      <c r="C1059" s="16"/>
      <c r="D1059" s="15"/>
      <c r="E1059" s="15"/>
      <c r="F1059" s="15"/>
      <c r="G1059" s="15"/>
      <c r="H1059" s="15"/>
      <c r="I1059" s="15"/>
      <c r="J1059" s="15"/>
      <c r="K1059" s="17"/>
      <c r="L1059" s="645"/>
    </row>
    <row r="1060" spans="2:13" ht="47.25">
      <c r="B1060" s="646" t="s">
        <v>402</v>
      </c>
      <c r="C1060" s="18" t="s">
        <v>403</v>
      </c>
      <c r="D1060" s="18" t="s">
        <v>404</v>
      </c>
      <c r="E1060" s="18" t="s">
        <v>405</v>
      </c>
      <c r="F1060" s="18" t="s">
        <v>406</v>
      </c>
      <c r="G1060" s="18" t="s">
        <v>407</v>
      </c>
      <c r="H1060" s="5" t="s">
        <v>408</v>
      </c>
      <c r="I1060" s="18" t="s">
        <v>409</v>
      </c>
      <c r="J1060" s="5" t="s">
        <v>410</v>
      </c>
      <c r="K1060" s="5" t="s">
        <v>411</v>
      </c>
      <c r="L1060" s="647" t="s">
        <v>412</v>
      </c>
    </row>
    <row r="1061" spans="2:13" ht="15">
      <c r="B1061" s="648" t="s">
        <v>598</v>
      </c>
      <c r="C1061" s="19"/>
      <c r="D1061" s="73">
        <v>50</v>
      </c>
      <c r="E1061" s="19">
        <v>0.2</v>
      </c>
      <c r="F1061" s="73">
        <v>70</v>
      </c>
      <c r="G1061" s="20"/>
      <c r="H1061" s="68"/>
      <c r="I1061" s="17"/>
      <c r="J1061" s="22">
        <v>1.1000000000000001</v>
      </c>
      <c r="K1061" s="17"/>
      <c r="L1061" s="649">
        <f>PRODUCT(C1061:K1061)</f>
        <v>770.00000000000011</v>
      </c>
      <c r="M1061" s="139"/>
    </row>
    <row r="1062" spans="2:13" ht="15">
      <c r="B1062" s="648" t="s">
        <v>659</v>
      </c>
      <c r="C1062" s="270">
        <v>5186</v>
      </c>
      <c r="D1062" s="19"/>
      <c r="E1062" s="19">
        <v>0.2</v>
      </c>
      <c r="F1062" s="19"/>
      <c r="G1062" s="20"/>
      <c r="H1062" s="68"/>
      <c r="I1062" s="17"/>
      <c r="J1062" s="22">
        <v>1.1000000000000001</v>
      </c>
      <c r="K1062" s="17"/>
      <c r="L1062" s="649">
        <f>PRODUCT(C1062:K1062)</f>
        <v>1140.92</v>
      </c>
    </row>
    <row r="1063" spans="2:13" ht="15">
      <c r="B1063" s="650" t="s">
        <v>863</v>
      </c>
      <c r="C1063" s="20"/>
      <c r="D1063" s="20"/>
      <c r="E1063" s="20">
        <v>1</v>
      </c>
      <c r="F1063" s="19">
        <f>285+68*2</f>
        <v>421</v>
      </c>
      <c r="G1063" s="20"/>
      <c r="H1063" s="20"/>
      <c r="I1063" s="19">
        <v>1</v>
      </c>
      <c r="J1063" s="22">
        <v>1.1000000000000001</v>
      </c>
      <c r="K1063" s="17"/>
      <c r="L1063" s="649">
        <f>PRODUCT(C1063:K1063)</f>
        <v>463.1</v>
      </c>
    </row>
    <row r="1064" spans="2:13" ht="15">
      <c r="B1064" s="650"/>
      <c r="C1064" s="20"/>
      <c r="D1064" s="20"/>
      <c r="E1064" s="20">
        <v>1</v>
      </c>
      <c r="F1064" s="20">
        <v>260</v>
      </c>
      <c r="G1064" s="20"/>
      <c r="H1064" s="19"/>
      <c r="I1064" s="19">
        <v>1</v>
      </c>
      <c r="J1064" s="22">
        <v>1.1000000000000001</v>
      </c>
      <c r="K1064" s="17"/>
      <c r="L1064" s="649">
        <f>PRODUCT(C1064:K1064)</f>
        <v>286</v>
      </c>
    </row>
    <row r="1065" spans="2:13" ht="15">
      <c r="B1065" s="650"/>
      <c r="C1065" s="20"/>
      <c r="D1065" s="20"/>
      <c r="E1065" s="20"/>
      <c r="F1065" s="20"/>
      <c r="G1065" s="20"/>
      <c r="H1065" s="19"/>
      <c r="I1065" s="20"/>
      <c r="J1065" s="24"/>
      <c r="K1065" s="17"/>
      <c r="L1065" s="649"/>
    </row>
    <row r="1066" spans="2:13" ht="15">
      <c r="B1066" s="650" t="s">
        <v>1050</v>
      </c>
      <c r="C1066" s="20"/>
      <c r="D1066" s="20">
        <v>7</v>
      </c>
      <c r="E1066" s="20">
        <v>0.4</v>
      </c>
      <c r="F1066" s="20">
        <v>8</v>
      </c>
      <c r="G1066" s="20"/>
      <c r="H1066" s="19"/>
      <c r="I1066" s="20"/>
      <c r="J1066" s="24"/>
      <c r="K1066" s="17"/>
      <c r="L1066" s="649">
        <f t="shared" ref="L1066" si="67">PRODUCT(C1066:K1066)</f>
        <v>22.400000000000002</v>
      </c>
    </row>
    <row r="1067" spans="2:13" ht="15" customHeight="1">
      <c r="B1067" s="1002" t="s">
        <v>414</v>
      </c>
      <c r="C1067" s="1003"/>
      <c r="D1067" s="1003"/>
      <c r="E1067" s="1003"/>
      <c r="F1067" s="1003"/>
      <c r="G1067" s="1003"/>
      <c r="H1067" s="1003"/>
      <c r="I1067" s="1003"/>
      <c r="J1067" s="1003"/>
      <c r="K1067" s="1003"/>
      <c r="L1067" s="1004"/>
    </row>
    <row r="1068" spans="2:13">
      <c r="B1068" s="651"/>
      <c r="L1068" s="652"/>
    </row>
    <row r="1069" spans="2:13" ht="15.75">
      <c r="B1069" s="638" t="s">
        <v>398</v>
      </c>
      <c r="C1069" s="8">
        <v>4.5</v>
      </c>
      <c r="D1069" s="9" t="s">
        <v>917</v>
      </c>
      <c r="E1069" s="9"/>
      <c r="F1069" s="9"/>
      <c r="G1069" s="9"/>
      <c r="H1069" s="9"/>
      <c r="I1069" s="9"/>
      <c r="J1069" s="9"/>
      <c r="K1069" s="10"/>
      <c r="L1069" s="639"/>
    </row>
    <row r="1070" spans="2:13" ht="15">
      <c r="B1070" s="1005"/>
      <c r="C1070" s="1006"/>
      <c r="D1070" s="1006"/>
      <c r="E1070" s="1006"/>
      <c r="F1070" s="1006"/>
      <c r="G1070" s="1006"/>
      <c r="H1070" s="1006"/>
      <c r="I1070" s="1006"/>
      <c r="J1070" s="1006"/>
      <c r="K1070" s="1006"/>
      <c r="L1070" s="1007"/>
    </row>
    <row r="1071" spans="2:13" ht="31.5">
      <c r="B1071" s="642" t="s">
        <v>399</v>
      </c>
      <c r="C1071" s="25">
        <f>+'PROPUESTA ECONOMICA(Proponente)'!C60</f>
        <v>4.7</v>
      </c>
      <c r="D1071" s="12" t="str">
        <f>+VLOOKUP('MEMORIAS DE CANTIDADES'!C1071,'PROPUESTA ECONOMICA(Proponente)'!$C$21:$H$310,5,FALSE)</f>
        <v>Suministro e instalación de MACDRAIN 2L 20.2, (Incluye suministro e instalación).</v>
      </c>
      <c r="E1071" s="13"/>
      <c r="F1071" s="12"/>
      <c r="G1071" s="12"/>
      <c r="H1071" s="12"/>
      <c r="I1071" s="11" t="s">
        <v>400</v>
      </c>
      <c r="J1071" s="12" t="str">
        <f>+VLOOKUP('MEMORIAS DE CANTIDADES'!C1071,'PROPUESTA ECONOMICA(Proponente)'!$C$21:$H$310,6,FALSE)</f>
        <v>m2</v>
      </c>
      <c r="K1071" s="11" t="s">
        <v>401</v>
      </c>
      <c r="L1071" s="643">
        <f>SUM(L1072:L1079)</f>
        <v>8686</v>
      </c>
    </row>
    <row r="1072" spans="2:13" ht="15">
      <c r="B1072" s="644"/>
      <c r="C1072" s="16"/>
      <c r="D1072" s="15"/>
      <c r="E1072" s="15"/>
      <c r="F1072" s="15"/>
      <c r="G1072" s="15"/>
      <c r="H1072" s="15"/>
      <c r="I1072" s="15"/>
      <c r="J1072" s="15"/>
      <c r="K1072" s="17"/>
      <c r="L1072" s="645"/>
    </row>
    <row r="1073" spans="2:12" ht="47.25">
      <c r="B1073" s="646" t="s">
        <v>402</v>
      </c>
      <c r="C1073" s="18" t="s">
        <v>403</v>
      </c>
      <c r="D1073" s="18" t="s">
        <v>404</v>
      </c>
      <c r="E1073" s="18" t="s">
        <v>405</v>
      </c>
      <c r="F1073" s="18" t="s">
        <v>406</v>
      </c>
      <c r="G1073" s="18" t="s">
        <v>407</v>
      </c>
      <c r="H1073" s="5" t="s">
        <v>408</v>
      </c>
      <c r="I1073" s="18" t="s">
        <v>409</v>
      </c>
      <c r="J1073" s="5" t="s">
        <v>410</v>
      </c>
      <c r="K1073" s="5" t="s">
        <v>411</v>
      </c>
      <c r="L1073" s="647" t="s">
        <v>412</v>
      </c>
    </row>
    <row r="1074" spans="2:12" ht="15">
      <c r="B1074" s="648" t="s">
        <v>598</v>
      </c>
      <c r="C1074" s="19"/>
      <c r="D1074" s="73">
        <v>50</v>
      </c>
      <c r="E1074" s="19"/>
      <c r="F1074" s="180">
        <v>70</v>
      </c>
      <c r="G1074" s="20"/>
      <c r="H1074" s="68"/>
      <c r="I1074" s="17"/>
      <c r="J1074" s="22"/>
      <c r="K1074" s="17"/>
      <c r="L1074" s="649">
        <f>PRODUCT(C1074:K1074)</f>
        <v>3500</v>
      </c>
    </row>
    <row r="1075" spans="2:12" ht="15">
      <c r="B1075" s="648" t="s">
        <v>659</v>
      </c>
      <c r="C1075" s="270">
        <v>5186</v>
      </c>
      <c r="D1075" s="19"/>
      <c r="E1075" s="19"/>
      <c r="F1075" s="19"/>
      <c r="G1075" s="20"/>
      <c r="H1075" s="68"/>
      <c r="I1075" s="17"/>
      <c r="J1075" s="24"/>
      <c r="K1075" s="17"/>
      <c r="L1075" s="649">
        <f>PRODUCT(C1075:K1075)</f>
        <v>5186</v>
      </c>
    </row>
    <row r="1076" spans="2:12" ht="15">
      <c r="B1076" s="650"/>
      <c r="C1076" s="20"/>
      <c r="D1076" s="20"/>
      <c r="E1076" s="20"/>
      <c r="F1076" s="20"/>
      <c r="G1076" s="20"/>
      <c r="H1076" s="20"/>
      <c r="I1076" s="20"/>
      <c r="J1076" s="24"/>
      <c r="K1076" s="17"/>
      <c r="L1076" s="649"/>
    </row>
    <row r="1077" spans="2:12" ht="15">
      <c r="B1077" s="650"/>
      <c r="C1077" s="20"/>
      <c r="D1077" s="20"/>
      <c r="E1077" s="20"/>
      <c r="F1077" s="20"/>
      <c r="G1077" s="20"/>
      <c r="H1077" s="19"/>
      <c r="I1077" s="20"/>
      <c r="J1077" s="24"/>
      <c r="K1077" s="17"/>
      <c r="L1077" s="649"/>
    </row>
    <row r="1078" spans="2:12" ht="15">
      <c r="B1078" s="650"/>
      <c r="C1078" s="20"/>
      <c r="D1078" s="20"/>
      <c r="E1078" s="20"/>
      <c r="F1078" s="20"/>
      <c r="G1078" s="20"/>
      <c r="H1078" s="19"/>
      <c r="I1078" s="20"/>
      <c r="J1078" s="24"/>
      <c r="K1078" s="17"/>
      <c r="L1078" s="645"/>
    </row>
    <row r="1079" spans="2:12" ht="15.75">
      <c r="B1079" s="1002" t="s">
        <v>414</v>
      </c>
      <c r="C1079" s="1003"/>
      <c r="D1079" s="1003"/>
      <c r="E1079" s="1003"/>
      <c r="F1079" s="1003"/>
      <c r="G1079" s="1003"/>
      <c r="H1079" s="1003"/>
      <c r="I1079" s="1003"/>
      <c r="J1079" s="1003"/>
      <c r="K1079" s="1003"/>
      <c r="L1079" s="1004"/>
    </row>
    <row r="1080" spans="2:12">
      <c r="B1080" s="651"/>
      <c r="L1080" s="652"/>
    </row>
    <row r="1081" spans="2:12" ht="15.75">
      <c r="B1081" s="638" t="s">
        <v>398</v>
      </c>
      <c r="C1081" s="8">
        <v>4.5</v>
      </c>
      <c r="D1081" s="9" t="s">
        <v>917</v>
      </c>
      <c r="E1081" s="9"/>
      <c r="F1081" s="9"/>
      <c r="G1081" s="9"/>
      <c r="H1081" s="9"/>
      <c r="I1081" s="9"/>
      <c r="J1081" s="9"/>
      <c r="K1081" s="10"/>
      <c r="L1081" s="639"/>
    </row>
    <row r="1082" spans="2:12" ht="15">
      <c r="B1082" s="1005"/>
      <c r="C1082" s="1006"/>
      <c r="D1082" s="1006"/>
      <c r="E1082" s="1006"/>
      <c r="F1082" s="1006"/>
      <c r="G1082" s="1006"/>
      <c r="H1082" s="1006"/>
      <c r="I1082" s="1006"/>
      <c r="J1082" s="1006"/>
      <c r="K1082" s="1006"/>
      <c r="L1082" s="1007"/>
    </row>
    <row r="1083" spans="2:12" ht="47.25">
      <c r="B1083" s="642" t="s">
        <v>399</v>
      </c>
      <c r="C1083" s="25">
        <f>+'PROPUESTA ECONOMICA(Proponente)'!C61</f>
        <v>4.8</v>
      </c>
      <c r="D1083" s="12" t="str">
        <f>+VLOOKUP('MEMORIAS DE CANTIDADES'!C1083,'PROPUESTA ECONOMICA(Proponente)'!$C$21:$H$310,5,FALSE)</f>
        <v>Suministro e instalación Geodren Tubular MACDRAIN TD 2L 20.2, (Incluye suministro e instalación).</v>
      </c>
      <c r="E1083" s="13"/>
      <c r="F1083" s="12"/>
      <c r="G1083" s="12"/>
      <c r="H1083" s="12"/>
      <c r="I1083" s="11" t="s">
        <v>400</v>
      </c>
      <c r="J1083" s="12" t="str">
        <f>+VLOOKUP('MEMORIAS DE CANTIDADES'!C1083,'PROPUESTA ECONOMICA(Proponente)'!$C$21:$H$310,6,FALSE)</f>
        <v>ml</v>
      </c>
      <c r="K1083" s="11" t="s">
        <v>401</v>
      </c>
      <c r="L1083" s="643">
        <f>SUM(L1084:L1091)</f>
        <v>1362</v>
      </c>
    </row>
    <row r="1084" spans="2:12" ht="15">
      <c r="B1084" s="644"/>
      <c r="C1084" s="16"/>
      <c r="D1084" s="15"/>
      <c r="E1084" s="15"/>
      <c r="F1084" s="15"/>
      <c r="G1084" s="15"/>
      <c r="H1084" s="15"/>
      <c r="I1084" s="15"/>
      <c r="J1084" s="15"/>
      <c r="K1084" s="17"/>
      <c r="L1084" s="645"/>
    </row>
    <row r="1085" spans="2:12" ht="47.25">
      <c r="B1085" s="646" t="s">
        <v>402</v>
      </c>
      <c r="C1085" s="18" t="s">
        <v>403</v>
      </c>
      <c r="D1085" s="18" t="s">
        <v>404</v>
      </c>
      <c r="E1085" s="18" t="s">
        <v>405</v>
      </c>
      <c r="F1085" s="18" t="s">
        <v>406</v>
      </c>
      <c r="G1085" s="18" t="s">
        <v>407</v>
      </c>
      <c r="H1085" s="5" t="s">
        <v>408</v>
      </c>
      <c r="I1085" s="18" t="s">
        <v>409</v>
      </c>
      <c r="J1085" s="5" t="s">
        <v>410</v>
      </c>
      <c r="K1085" s="5" t="s">
        <v>411</v>
      </c>
      <c r="L1085" s="647" t="s">
        <v>412</v>
      </c>
    </row>
    <row r="1086" spans="2:12" ht="15">
      <c r="B1086" s="648" t="s">
        <v>598</v>
      </c>
      <c r="C1086" s="19"/>
      <c r="D1086" s="19"/>
      <c r="E1086" s="19"/>
      <c r="F1086" s="19">
        <f>285+68*2</f>
        <v>421</v>
      </c>
      <c r="G1086" s="20"/>
      <c r="H1086" s="68"/>
      <c r="I1086" s="28">
        <v>2</v>
      </c>
      <c r="J1086" s="22"/>
      <c r="K1086" s="17"/>
      <c r="L1086" s="649">
        <f>PRODUCT(C1086:K1086)</f>
        <v>842</v>
      </c>
    </row>
    <row r="1087" spans="2:12" ht="15">
      <c r="B1087" s="648" t="s">
        <v>659</v>
      </c>
      <c r="C1087" s="20"/>
      <c r="D1087" s="19"/>
      <c r="E1087" s="19"/>
      <c r="F1087" s="19">
        <v>260</v>
      </c>
      <c r="G1087" s="20"/>
      <c r="H1087" s="68"/>
      <c r="I1087" s="28">
        <v>2</v>
      </c>
      <c r="J1087" s="24"/>
      <c r="K1087" s="17"/>
      <c r="L1087" s="649">
        <f>PRODUCT(C1087:K1087)</f>
        <v>520</v>
      </c>
    </row>
    <row r="1088" spans="2:12" ht="15">
      <c r="B1088" s="650"/>
      <c r="C1088" s="20"/>
      <c r="D1088" s="20"/>
      <c r="E1088" s="20"/>
      <c r="F1088" s="20"/>
      <c r="G1088" s="20"/>
      <c r="H1088" s="20"/>
      <c r="I1088" s="20"/>
      <c r="J1088" s="24"/>
      <c r="K1088" s="17"/>
      <c r="L1088" s="649"/>
    </row>
    <row r="1089" spans="2:12" ht="15">
      <c r="B1089" s="650"/>
      <c r="C1089" s="20"/>
      <c r="D1089" s="20"/>
      <c r="E1089" s="20"/>
      <c r="F1089" s="20"/>
      <c r="G1089" s="20"/>
      <c r="H1089" s="19"/>
      <c r="I1089" s="20"/>
      <c r="J1089" s="24"/>
      <c r="K1089" s="17"/>
      <c r="L1089" s="649"/>
    </row>
    <row r="1090" spans="2:12" ht="15">
      <c r="B1090" s="650"/>
      <c r="C1090" s="20"/>
      <c r="D1090" s="20"/>
      <c r="E1090" s="20"/>
      <c r="F1090" s="20"/>
      <c r="G1090" s="20"/>
      <c r="H1090" s="19"/>
      <c r="I1090" s="20"/>
      <c r="J1090" s="24"/>
      <c r="K1090" s="17"/>
      <c r="L1090" s="645"/>
    </row>
    <row r="1091" spans="2:12" ht="15.75">
      <c r="B1091" s="1002" t="s">
        <v>414</v>
      </c>
      <c r="C1091" s="1003"/>
      <c r="D1091" s="1003"/>
      <c r="E1091" s="1003"/>
      <c r="F1091" s="1003"/>
      <c r="G1091" s="1003"/>
      <c r="H1091" s="1003"/>
      <c r="I1091" s="1003"/>
      <c r="J1091" s="1003"/>
      <c r="K1091" s="1003"/>
      <c r="L1091" s="1004"/>
    </row>
    <row r="1092" spans="2:12">
      <c r="B1092" s="651"/>
      <c r="L1092" s="652"/>
    </row>
    <row r="1093" spans="2:12" ht="15.75">
      <c r="B1093" s="638" t="s">
        <v>398</v>
      </c>
      <c r="C1093" s="8">
        <v>4.5</v>
      </c>
      <c r="D1093" s="9" t="s">
        <v>917</v>
      </c>
      <c r="E1093" s="9"/>
      <c r="F1093" s="9"/>
      <c r="G1093" s="9"/>
      <c r="H1093" s="9"/>
      <c r="I1093" s="9"/>
      <c r="J1093" s="9"/>
      <c r="K1093" s="10"/>
      <c r="L1093" s="639"/>
    </row>
    <row r="1094" spans="2:12" ht="15">
      <c r="B1094" s="1005"/>
      <c r="C1094" s="1006"/>
      <c r="D1094" s="1006"/>
      <c r="E1094" s="1006"/>
      <c r="F1094" s="1006"/>
      <c r="G1094" s="1006"/>
      <c r="H1094" s="1006"/>
      <c r="I1094" s="1006"/>
      <c r="J1094" s="1006"/>
      <c r="K1094" s="1006"/>
      <c r="L1094" s="1007"/>
    </row>
    <row r="1095" spans="2:12" ht="47.25">
      <c r="B1095" s="642" t="s">
        <v>399</v>
      </c>
      <c r="C1095" s="25">
        <f>+'PROPUESTA ECONOMICA(Proponente)'!C62</f>
        <v>4.9000000000000004</v>
      </c>
      <c r="D1095" s="12" t="str">
        <f>+VLOOKUP('MEMORIAS DE CANTIDADES'!C1095,'PROPUESTA ECONOMICA(Proponente)'!$C$21:$H$310,5,FALSE)</f>
        <v>Suministro e instalación Tubería Tubería Novafort 8" perforada corrugada, (Incluye suministro e instalación).</v>
      </c>
      <c r="E1095" s="13"/>
      <c r="F1095" s="12"/>
      <c r="G1095" s="12"/>
      <c r="H1095" s="12"/>
      <c r="I1095" s="11" t="s">
        <v>400</v>
      </c>
      <c r="J1095" s="12" t="str">
        <f>+VLOOKUP('MEMORIAS DE CANTIDADES'!C1095,'PROPUESTA ECONOMICA(Proponente)'!$C$21:$H$310,6,FALSE)</f>
        <v>ml</v>
      </c>
      <c r="K1095" s="11" t="s">
        <v>401</v>
      </c>
      <c r="L1095" s="643">
        <f>SUM(L1096:L1103)</f>
        <v>1572</v>
      </c>
    </row>
    <row r="1096" spans="2:12" ht="15">
      <c r="B1096" s="644"/>
      <c r="C1096" s="16"/>
      <c r="D1096" s="15"/>
      <c r="E1096" s="15"/>
      <c r="F1096" s="15"/>
      <c r="G1096" s="15"/>
      <c r="H1096" s="15"/>
      <c r="I1096" s="15"/>
      <c r="J1096" s="15"/>
      <c r="K1096" s="17"/>
      <c r="L1096" s="645"/>
    </row>
    <row r="1097" spans="2:12" ht="47.25">
      <c r="B1097" s="646" t="s">
        <v>402</v>
      </c>
      <c r="C1097" s="18" t="s">
        <v>403</v>
      </c>
      <c r="D1097" s="18" t="s">
        <v>404</v>
      </c>
      <c r="E1097" s="18" t="s">
        <v>405</v>
      </c>
      <c r="F1097" s="18" t="s">
        <v>406</v>
      </c>
      <c r="G1097" s="18" t="s">
        <v>407</v>
      </c>
      <c r="H1097" s="5" t="s">
        <v>408</v>
      </c>
      <c r="I1097" s="18" t="s">
        <v>409</v>
      </c>
      <c r="J1097" s="5" t="s">
        <v>410</v>
      </c>
      <c r="K1097" s="5" t="s">
        <v>411</v>
      </c>
      <c r="L1097" s="647" t="s">
        <v>412</v>
      </c>
    </row>
    <row r="1098" spans="2:12" ht="15">
      <c r="B1098" s="648" t="s">
        <v>598</v>
      </c>
      <c r="C1098" s="19"/>
      <c r="D1098" s="19"/>
      <c r="E1098" s="19"/>
      <c r="F1098" s="20">
        <v>421</v>
      </c>
      <c r="G1098" s="20"/>
      <c r="H1098" s="68"/>
      <c r="I1098" s="282">
        <v>2</v>
      </c>
      <c r="J1098" s="22"/>
      <c r="K1098" s="17"/>
      <c r="L1098" s="649">
        <f>PRODUCT(C1098:K1098)</f>
        <v>842</v>
      </c>
    </row>
    <row r="1099" spans="2:12" ht="15">
      <c r="B1099" s="648" t="s">
        <v>659</v>
      </c>
      <c r="C1099" s="20"/>
      <c r="D1099" s="19"/>
      <c r="E1099" s="19"/>
      <c r="F1099" s="20">
        <v>260</v>
      </c>
      <c r="G1099" s="20"/>
      <c r="H1099" s="68"/>
      <c r="I1099" s="282">
        <v>2</v>
      </c>
      <c r="J1099" s="24"/>
      <c r="K1099" s="17"/>
      <c r="L1099" s="649">
        <f>PRODUCT(C1099:K1099)</f>
        <v>520</v>
      </c>
    </row>
    <row r="1100" spans="2:12" ht="15">
      <c r="B1100" s="650"/>
      <c r="C1100" s="20"/>
      <c r="D1100" s="20"/>
      <c r="E1100" s="20"/>
      <c r="F1100" s="20"/>
      <c r="G1100" s="20"/>
      <c r="H1100" s="20"/>
      <c r="I1100" s="20"/>
      <c r="J1100" s="24"/>
      <c r="K1100" s="17"/>
      <c r="L1100" s="649"/>
    </row>
    <row r="1101" spans="2:12" ht="15">
      <c r="B1101" s="650" t="s">
        <v>983</v>
      </c>
      <c r="C1101" s="20"/>
      <c r="D1101" s="20"/>
      <c r="E1101" s="20"/>
      <c r="F1101" s="20">
        <v>210</v>
      </c>
      <c r="G1101" s="20"/>
      <c r="H1101" s="19"/>
      <c r="I1101" s="19">
        <v>1</v>
      </c>
      <c r="J1101" s="24"/>
      <c r="K1101" s="17"/>
      <c r="L1101" s="649">
        <f>PRODUCT(C1101:K1101)</f>
        <v>210</v>
      </c>
    </row>
    <row r="1102" spans="2:12" ht="15">
      <c r="B1102" s="650"/>
      <c r="C1102" s="20"/>
      <c r="D1102" s="20"/>
      <c r="E1102" s="20"/>
      <c r="F1102" s="20"/>
      <c r="G1102" s="20"/>
      <c r="H1102" s="19"/>
      <c r="I1102" s="20"/>
      <c r="J1102" s="24"/>
      <c r="K1102" s="17"/>
      <c r="L1102" s="645"/>
    </row>
    <row r="1103" spans="2:12" ht="15.75">
      <c r="B1103" s="1002" t="s">
        <v>414</v>
      </c>
      <c r="C1103" s="1003"/>
      <c r="D1103" s="1003"/>
      <c r="E1103" s="1003"/>
      <c r="F1103" s="1003"/>
      <c r="G1103" s="1003"/>
      <c r="H1103" s="1003"/>
      <c r="I1103" s="1003"/>
      <c r="J1103" s="1003"/>
      <c r="K1103" s="1003"/>
      <c r="L1103" s="1004"/>
    </row>
    <row r="1104" spans="2:12">
      <c r="B1104" s="651"/>
      <c r="L1104" s="652"/>
    </row>
    <row r="1105" spans="2:14" ht="15.75">
      <c r="B1105" s="638" t="s">
        <v>398</v>
      </c>
      <c r="C1105" s="8">
        <v>4.5</v>
      </c>
      <c r="D1105" s="9" t="s">
        <v>917</v>
      </c>
      <c r="E1105" s="9"/>
      <c r="F1105" s="9"/>
      <c r="G1105" s="9"/>
      <c r="H1105" s="9"/>
      <c r="I1105" s="9"/>
      <c r="J1105" s="9"/>
      <c r="K1105" s="10"/>
      <c r="L1105" s="639"/>
    </row>
    <row r="1106" spans="2:14" ht="15">
      <c r="B1106" s="1005"/>
      <c r="C1106" s="1006"/>
      <c r="D1106" s="1006"/>
      <c r="E1106" s="1006"/>
      <c r="F1106" s="1006"/>
      <c r="G1106" s="1006"/>
      <c r="H1106" s="1006"/>
      <c r="I1106" s="1006"/>
      <c r="J1106" s="1006"/>
      <c r="K1106" s="1006"/>
      <c r="L1106" s="1007"/>
    </row>
    <row r="1107" spans="2:14" ht="31.5">
      <c r="B1107" s="646" t="s">
        <v>399</v>
      </c>
      <c r="C1107" s="8" t="str">
        <f>+'PROPUESTA ECONOMICA(Proponente)'!C63</f>
        <v>4.10</v>
      </c>
      <c r="D1107" s="12" t="str">
        <f>+VLOOKUP('MEMORIAS DE CANTIDADES'!C1107,'PROPUESTA ECONOMICA(Proponente)'!$C$21:$H$310,5,FALSE)</f>
        <v>Suministro e instalación de Tubería Novafort 6", (Incluye suministro e instalación).</v>
      </c>
      <c r="E1107" s="13"/>
      <c r="F1107" s="12"/>
      <c r="G1107" s="12"/>
      <c r="H1107" s="12"/>
      <c r="I1107" s="11" t="s">
        <v>400</v>
      </c>
      <c r="J1107" s="12" t="str">
        <f>+VLOOKUP('MEMORIAS DE CANTIDADES'!C1107,'PROPUESTA ECONOMICA(Proponente)'!$C$21:$H$310,6,FALSE)</f>
        <v>ml</v>
      </c>
      <c r="K1107" s="11" t="s">
        <v>401</v>
      </c>
      <c r="L1107" s="643">
        <f>SUM(L1108:L1117)</f>
        <v>2280.7599999999998</v>
      </c>
    </row>
    <row r="1108" spans="2:14" ht="15">
      <c r="B1108" s="644"/>
      <c r="C1108" s="16"/>
      <c r="D1108" s="15"/>
      <c r="E1108" s="15"/>
      <c r="F1108" s="15"/>
      <c r="G1108" s="15"/>
      <c r="H1108" s="15"/>
      <c r="I1108" s="15"/>
      <c r="J1108" s="15"/>
      <c r="K1108" s="17"/>
      <c r="L1108" s="645"/>
    </row>
    <row r="1109" spans="2:14" ht="47.25">
      <c r="B1109" s="646" t="s">
        <v>402</v>
      </c>
      <c r="C1109" s="18" t="s">
        <v>403</v>
      </c>
      <c r="D1109" s="18" t="s">
        <v>404</v>
      </c>
      <c r="E1109" s="18" t="s">
        <v>405</v>
      </c>
      <c r="F1109" s="18" t="s">
        <v>406</v>
      </c>
      <c r="G1109" s="18" t="s">
        <v>407</v>
      </c>
      <c r="H1109" s="5" t="s">
        <v>408</v>
      </c>
      <c r="I1109" s="18" t="s">
        <v>409</v>
      </c>
      <c r="J1109" s="5" t="s">
        <v>410</v>
      </c>
      <c r="K1109" s="5" t="s">
        <v>411</v>
      </c>
      <c r="L1109" s="647" t="s">
        <v>412</v>
      </c>
      <c r="M1109" s="124"/>
      <c r="N1109" s="124"/>
    </row>
    <row r="1110" spans="2:14" ht="15">
      <c r="B1110" s="648" t="s">
        <v>864</v>
      </c>
      <c r="C1110" s="19"/>
      <c r="D1110" s="19"/>
      <c r="E1110" s="19"/>
      <c r="F1110" s="20">
        <f>65*2+130</f>
        <v>260</v>
      </c>
      <c r="G1110" s="20"/>
      <c r="H1110" s="68"/>
      <c r="I1110" s="28">
        <v>1</v>
      </c>
      <c r="J1110" s="22">
        <f>2*2.67</f>
        <v>5.34</v>
      </c>
      <c r="K1110" s="17"/>
      <c r="L1110" s="649">
        <f>PRODUCT(C1110:K1110)</f>
        <v>1388.3999999999999</v>
      </c>
    </row>
    <row r="1111" spans="2:14" ht="15">
      <c r="B1111" s="648" t="s">
        <v>805</v>
      </c>
      <c r="C1111" s="20"/>
      <c r="D1111" s="19"/>
      <c r="E1111" s="19"/>
      <c r="F1111" s="19">
        <v>77</v>
      </c>
      <c r="G1111" s="20"/>
      <c r="H1111" s="68"/>
      <c r="I1111" s="28">
        <v>2</v>
      </c>
      <c r="J1111" s="22">
        <f>2*2.67</f>
        <v>5.34</v>
      </c>
      <c r="K1111" s="17"/>
      <c r="L1111" s="649">
        <f>PRODUCT(C1111:K1111)</f>
        <v>822.36</v>
      </c>
    </row>
    <row r="1112" spans="2:14" ht="15">
      <c r="B1112" s="650"/>
      <c r="C1112" s="20"/>
      <c r="D1112" s="20"/>
      <c r="E1112" s="20"/>
      <c r="F1112" s="20"/>
      <c r="G1112" s="20"/>
      <c r="H1112" s="20"/>
      <c r="I1112" s="20"/>
      <c r="J1112" s="24"/>
      <c r="K1112" s="17"/>
      <c r="L1112" s="649"/>
    </row>
    <row r="1113" spans="2:14" ht="15">
      <c r="B1113" s="650" t="s">
        <v>782</v>
      </c>
      <c r="C1113" s="20"/>
      <c r="D1113" s="20"/>
      <c r="E1113" s="20"/>
      <c r="F1113" s="20"/>
      <c r="G1113" s="20"/>
      <c r="H1113" s="19"/>
      <c r="I1113" s="20"/>
      <c r="J1113" s="24"/>
      <c r="K1113" s="17"/>
      <c r="L1113" s="649"/>
    </row>
    <row r="1114" spans="2:14" ht="15">
      <c r="B1114" s="650" t="s">
        <v>934</v>
      </c>
      <c r="C1114" s="20"/>
      <c r="D1114" s="20"/>
      <c r="E1114" s="20"/>
      <c r="F1114" s="20">
        <v>70</v>
      </c>
      <c r="G1114" s="20"/>
      <c r="H1114" s="19"/>
      <c r="I1114" s="20"/>
      <c r="J1114" s="24"/>
      <c r="K1114" s="17"/>
      <c r="L1114" s="649">
        <f t="shared" ref="L1114" si="68">PRODUCT(C1114:K1114)</f>
        <v>70</v>
      </c>
    </row>
    <row r="1115" spans="2:14" ht="15">
      <c r="B1115" s="650"/>
      <c r="C1115" s="20"/>
      <c r="D1115" s="20"/>
      <c r="E1115" s="20"/>
      <c r="F1115" s="20"/>
      <c r="G1115" s="20"/>
      <c r="H1115" s="19"/>
      <c r="I1115" s="20"/>
      <c r="J1115" s="24"/>
      <c r="K1115" s="17"/>
      <c r="L1115" s="649"/>
    </row>
    <row r="1116" spans="2:14" ht="15">
      <c r="B1116" s="650"/>
      <c r="C1116" s="20"/>
      <c r="D1116" s="20"/>
      <c r="E1116" s="20"/>
      <c r="F1116" s="20"/>
      <c r="G1116" s="20"/>
      <c r="H1116" s="19"/>
      <c r="I1116" s="20"/>
      <c r="J1116" s="24"/>
      <c r="K1116" s="17"/>
      <c r="L1116" s="649"/>
    </row>
    <row r="1117" spans="2:14" ht="15.75">
      <c r="B1117" s="1002" t="s">
        <v>414</v>
      </c>
      <c r="C1117" s="1003"/>
      <c r="D1117" s="1003"/>
      <c r="E1117" s="1003"/>
      <c r="F1117" s="1003"/>
      <c r="G1117" s="1003"/>
      <c r="H1117" s="1003"/>
      <c r="I1117" s="1003"/>
      <c r="J1117" s="1003"/>
      <c r="K1117" s="1003"/>
      <c r="L1117" s="1004"/>
    </row>
    <row r="1118" spans="2:14">
      <c r="B1118" s="651"/>
      <c r="L1118" s="652"/>
    </row>
    <row r="1119" spans="2:14" ht="15.75">
      <c r="B1119" s="638" t="s">
        <v>398</v>
      </c>
      <c r="C1119" s="8">
        <v>4.5</v>
      </c>
      <c r="D1119" s="9" t="s">
        <v>917</v>
      </c>
      <c r="E1119" s="9"/>
      <c r="F1119" s="9"/>
      <c r="G1119" s="9"/>
      <c r="H1119" s="9"/>
      <c r="I1119" s="9"/>
      <c r="J1119" s="9"/>
      <c r="K1119" s="10"/>
      <c r="L1119" s="639"/>
    </row>
    <row r="1120" spans="2:14" ht="15">
      <c r="B1120" s="1005"/>
      <c r="C1120" s="1006"/>
      <c r="D1120" s="1006"/>
      <c r="E1120" s="1006"/>
      <c r="F1120" s="1006"/>
      <c r="G1120" s="1006"/>
      <c r="H1120" s="1006"/>
      <c r="I1120" s="1006"/>
      <c r="J1120" s="1006"/>
      <c r="K1120" s="1006"/>
      <c r="L1120" s="1007"/>
    </row>
    <row r="1121" spans="2:12" ht="31.5">
      <c r="B1121" s="642" t="s">
        <v>399</v>
      </c>
      <c r="C1121" s="8">
        <f>+'PROPUESTA ECONOMICA(Proponente)'!C64</f>
        <v>4.1100000000000003</v>
      </c>
      <c r="D1121" s="12" t="str">
        <f>+VLOOKUP('MEMORIAS DE CANTIDADES'!C1121,'PROPUESTA ECONOMICA(Proponente)'!$C$21:$H$310,5,FALSE)</f>
        <v>Suministro e instalación de Tubería Novafort 14", (Incluye suministro e instalación).</v>
      </c>
      <c r="E1121" s="13"/>
      <c r="F1121" s="12"/>
      <c r="G1121" s="12"/>
      <c r="H1121" s="12"/>
      <c r="I1121" s="11" t="s">
        <v>400</v>
      </c>
      <c r="J1121" s="12" t="str">
        <f>+VLOOKUP('MEMORIAS DE CANTIDADES'!C1121,'PROPUESTA ECONOMICA(Proponente)'!$C$21:$H$310,6,FALSE)</f>
        <v>ml</v>
      </c>
      <c r="K1121" s="11" t="s">
        <v>401</v>
      </c>
      <c r="L1121" s="643">
        <f>SUM(L1122:L1129)</f>
        <v>420</v>
      </c>
    </row>
    <row r="1122" spans="2:12" ht="15">
      <c r="B1122" s="644"/>
      <c r="C1122" s="16"/>
      <c r="D1122" s="15"/>
      <c r="E1122" s="15"/>
      <c r="F1122" s="15"/>
      <c r="G1122" s="15"/>
      <c r="H1122" s="15"/>
      <c r="I1122" s="15"/>
      <c r="J1122" s="15"/>
      <c r="K1122" s="17"/>
      <c r="L1122" s="645"/>
    </row>
    <row r="1123" spans="2:12" ht="47.25">
      <c r="B1123" s="646" t="s">
        <v>402</v>
      </c>
      <c r="C1123" s="18" t="s">
        <v>403</v>
      </c>
      <c r="D1123" s="18" t="s">
        <v>404</v>
      </c>
      <c r="E1123" s="18" t="s">
        <v>405</v>
      </c>
      <c r="F1123" s="18" t="s">
        <v>406</v>
      </c>
      <c r="G1123" s="18" t="s">
        <v>407</v>
      </c>
      <c r="H1123" s="5" t="s">
        <v>408</v>
      </c>
      <c r="I1123" s="18" t="s">
        <v>409</v>
      </c>
      <c r="J1123" s="5" t="s">
        <v>410</v>
      </c>
      <c r="K1123" s="5" t="s">
        <v>411</v>
      </c>
      <c r="L1123" s="647" t="s">
        <v>412</v>
      </c>
    </row>
    <row r="1124" spans="2:12" ht="15">
      <c r="B1124" s="648" t="s">
        <v>598</v>
      </c>
      <c r="C1124" s="19"/>
      <c r="D1124" s="19"/>
      <c r="E1124" s="19"/>
      <c r="F1124" s="19">
        <v>60</v>
      </c>
      <c r="G1124" s="20"/>
      <c r="H1124" s="68"/>
      <c r="I1124" s="17">
        <v>4</v>
      </c>
      <c r="J1124" s="22"/>
      <c r="K1124" s="17"/>
      <c r="L1124" s="649">
        <f>PRODUCT(C1124:K1124)</f>
        <v>240</v>
      </c>
    </row>
    <row r="1125" spans="2:12" ht="15">
      <c r="B1125" s="648" t="s">
        <v>806</v>
      </c>
      <c r="C1125" s="20"/>
      <c r="D1125" s="19"/>
      <c r="E1125" s="19"/>
      <c r="F1125" s="19">
        <v>30</v>
      </c>
      <c r="G1125" s="20"/>
      <c r="H1125" s="68"/>
      <c r="I1125" s="17">
        <v>2</v>
      </c>
      <c r="J1125" s="24"/>
      <c r="K1125" s="17"/>
      <c r="L1125" s="649">
        <f t="shared" ref="L1125" si="69">PRODUCT(C1125:K1125)</f>
        <v>60</v>
      </c>
    </row>
    <row r="1126" spans="2:12" ht="15">
      <c r="B1126" s="650"/>
      <c r="C1126" s="20"/>
      <c r="D1126" s="20"/>
      <c r="E1126" s="20"/>
      <c r="F1126" s="20"/>
      <c r="G1126" s="20"/>
      <c r="H1126" s="20"/>
      <c r="I1126" s="20"/>
      <c r="J1126" s="24"/>
      <c r="K1126" s="17"/>
      <c r="L1126" s="649"/>
    </row>
    <row r="1127" spans="2:12" ht="15">
      <c r="B1127" s="650" t="s">
        <v>1054</v>
      </c>
      <c r="C1127" s="20"/>
      <c r="D1127" s="20"/>
      <c r="E1127" s="20"/>
      <c r="F1127" s="20">
        <f>60*2</f>
        <v>120</v>
      </c>
      <c r="G1127" s="20"/>
      <c r="H1127" s="20"/>
      <c r="I1127" s="20"/>
      <c r="J1127" s="19"/>
      <c r="K1127" s="17"/>
      <c r="L1127" s="649">
        <f>PRODUCT(C1127:K1127)</f>
        <v>120</v>
      </c>
    </row>
    <row r="1128" spans="2:12" ht="15">
      <c r="B1128" s="650"/>
      <c r="C1128" s="20"/>
      <c r="D1128" s="20"/>
      <c r="E1128" s="20"/>
      <c r="F1128" s="20"/>
      <c r="G1128" s="20"/>
      <c r="H1128" s="19"/>
      <c r="I1128" s="20"/>
      <c r="J1128" s="24"/>
      <c r="K1128" s="17"/>
      <c r="L1128" s="645"/>
    </row>
    <row r="1129" spans="2:12" ht="15.75">
      <c r="B1129" s="1002" t="s">
        <v>414</v>
      </c>
      <c r="C1129" s="1003"/>
      <c r="D1129" s="1003"/>
      <c r="E1129" s="1003"/>
      <c r="F1129" s="1003"/>
      <c r="G1129" s="1003"/>
      <c r="H1129" s="1003"/>
      <c r="I1129" s="1003"/>
      <c r="J1129" s="1003"/>
      <c r="K1129" s="1003"/>
      <c r="L1129" s="1004"/>
    </row>
    <row r="1130" spans="2:12">
      <c r="B1130" s="651"/>
      <c r="L1130" s="652"/>
    </row>
    <row r="1131" spans="2:12" ht="15.75">
      <c r="B1131" s="638" t="s">
        <v>398</v>
      </c>
      <c r="C1131" s="8">
        <v>4.5</v>
      </c>
      <c r="D1131" s="9" t="s">
        <v>917</v>
      </c>
      <c r="E1131" s="9"/>
      <c r="F1131" s="9"/>
      <c r="G1131" s="9"/>
      <c r="H1131" s="9"/>
      <c r="I1131" s="9"/>
      <c r="J1131" s="9"/>
      <c r="K1131" s="10"/>
      <c r="L1131" s="639"/>
    </row>
    <row r="1132" spans="2:12" ht="15">
      <c r="B1132" s="1005"/>
      <c r="C1132" s="1006"/>
      <c r="D1132" s="1006"/>
      <c r="E1132" s="1006"/>
      <c r="F1132" s="1006"/>
      <c r="G1132" s="1006"/>
      <c r="H1132" s="1006"/>
      <c r="I1132" s="1006"/>
      <c r="J1132" s="1006"/>
      <c r="K1132" s="1006"/>
      <c r="L1132" s="1007"/>
    </row>
    <row r="1133" spans="2:12" ht="63">
      <c r="B1133" s="753" t="s">
        <v>399</v>
      </c>
      <c r="C1133" s="405">
        <f>+'PROPUESTA ECONOMICA(Proponente)'!C65</f>
        <v>4.12</v>
      </c>
      <c r="D1133" s="406" t="str">
        <f>+VLOOKUP('MEMORIAS DE CANTIDADES'!C1133,'PROPUESTA ECONOMICA(Proponente)'!$C$21:$H$310,5,FALSE)</f>
        <v>Grama sintética en fibra artificial de polietileno fibrilado, de tercera generación, incluye un riego con arena de sílice y grano de caucho, (Incluye suministro e instalación).</v>
      </c>
      <c r="E1133" s="407"/>
      <c r="F1133" s="406"/>
      <c r="G1133" s="406"/>
      <c r="H1133" s="406"/>
      <c r="I1133" s="200" t="s">
        <v>400</v>
      </c>
      <c r="J1133" s="406" t="str">
        <f>+VLOOKUP('MEMORIAS DE CANTIDADES'!C1133,'PROPUESTA ECONOMICA(Proponente)'!$C$21:$H$310,6,FALSE)</f>
        <v>m2</v>
      </c>
      <c r="K1133" s="200" t="s">
        <v>401</v>
      </c>
      <c r="L1133" s="754">
        <f>SUM(L1134:L1141)</f>
        <v>6936</v>
      </c>
    </row>
    <row r="1134" spans="2:12" ht="15">
      <c r="B1134" s="644"/>
      <c r="C1134" s="16"/>
      <c r="D1134" s="15"/>
      <c r="E1134" s="15"/>
      <c r="F1134" s="15"/>
      <c r="G1134" s="15"/>
      <c r="H1134" s="15"/>
      <c r="I1134" s="15"/>
      <c r="J1134" s="15"/>
      <c r="K1134" s="17"/>
      <c r="L1134" s="645"/>
    </row>
    <row r="1135" spans="2:12" ht="47.25">
      <c r="B1135" s="646" t="s">
        <v>402</v>
      </c>
      <c r="C1135" s="18" t="s">
        <v>403</v>
      </c>
      <c r="D1135" s="18" t="s">
        <v>404</v>
      </c>
      <c r="E1135" s="18" t="s">
        <v>405</v>
      </c>
      <c r="F1135" s="18" t="s">
        <v>406</v>
      </c>
      <c r="G1135" s="18" t="s">
        <v>407</v>
      </c>
      <c r="H1135" s="5" t="s">
        <v>408</v>
      </c>
      <c r="I1135" s="18" t="s">
        <v>409</v>
      </c>
      <c r="J1135" s="5" t="s">
        <v>410</v>
      </c>
      <c r="K1135" s="5" t="s">
        <v>411</v>
      </c>
      <c r="L1135" s="647" t="s">
        <v>412</v>
      </c>
    </row>
    <row r="1136" spans="2:12" ht="15">
      <c r="B1136" s="648" t="s">
        <v>598</v>
      </c>
      <c r="C1136" s="19"/>
      <c r="D1136" s="73">
        <v>50</v>
      </c>
      <c r="E1136" s="19"/>
      <c r="F1136" s="73">
        <v>70</v>
      </c>
      <c r="G1136" s="20"/>
      <c r="H1136" s="68"/>
      <c r="I1136" s="17"/>
      <c r="J1136" s="22"/>
      <c r="K1136" s="17"/>
      <c r="L1136" s="649">
        <f>PRODUCT(C1136:K1136)</f>
        <v>3500</v>
      </c>
    </row>
    <row r="1137" spans="2:12" ht="15">
      <c r="B1137" s="648" t="s">
        <v>1015</v>
      </c>
      <c r="C1137" s="20">
        <v>3436</v>
      </c>
      <c r="D1137" s="19"/>
      <c r="E1137" s="19"/>
      <c r="F1137" s="19"/>
      <c r="G1137" s="20"/>
      <c r="H1137" s="68"/>
      <c r="I1137" s="17"/>
      <c r="J1137" s="24"/>
      <c r="K1137" s="17"/>
      <c r="L1137" s="649">
        <f t="shared" ref="L1137" si="70">PRODUCT(C1137:K1137)</f>
        <v>3436</v>
      </c>
    </row>
    <row r="1138" spans="2:12" ht="15">
      <c r="B1138" s="650"/>
      <c r="C1138" s="20"/>
      <c r="D1138" s="20"/>
      <c r="E1138" s="20"/>
      <c r="F1138" s="20"/>
      <c r="G1138" s="20"/>
      <c r="H1138" s="20"/>
      <c r="I1138" s="20"/>
      <c r="J1138" s="24"/>
      <c r="K1138" s="17"/>
      <c r="L1138" s="649"/>
    </row>
    <row r="1139" spans="2:12" ht="15">
      <c r="B1139" s="650"/>
      <c r="C1139" s="20"/>
      <c r="D1139" s="20"/>
      <c r="E1139" s="20"/>
      <c r="F1139" s="20"/>
      <c r="G1139" s="20"/>
      <c r="H1139" s="19"/>
      <c r="I1139" s="20"/>
      <c r="J1139" s="24"/>
      <c r="K1139" s="17"/>
      <c r="L1139" s="649"/>
    </row>
    <row r="1140" spans="2:12" ht="15">
      <c r="B1140" s="650"/>
      <c r="C1140" s="20"/>
      <c r="D1140" s="20"/>
      <c r="E1140" s="20"/>
      <c r="F1140" s="20"/>
      <c r="G1140" s="20"/>
      <c r="H1140" s="19"/>
      <c r="I1140" s="20"/>
      <c r="J1140" s="24"/>
      <c r="K1140" s="17"/>
      <c r="L1140" s="645"/>
    </row>
    <row r="1141" spans="2:12" ht="15.75">
      <c r="B1141" s="1002" t="s">
        <v>414</v>
      </c>
      <c r="C1141" s="1003"/>
      <c r="D1141" s="1003"/>
      <c r="E1141" s="1003"/>
      <c r="F1141" s="1003"/>
      <c r="G1141" s="1003"/>
      <c r="H1141" s="1003"/>
      <c r="I1141" s="1003"/>
      <c r="J1141" s="1003"/>
      <c r="K1141" s="1003"/>
      <c r="L1141" s="1004"/>
    </row>
    <row r="1142" spans="2:12">
      <c r="B1142" s="651"/>
      <c r="L1142" s="652"/>
    </row>
    <row r="1143" spans="2:12" ht="15.75">
      <c r="B1143" s="638" t="s">
        <v>398</v>
      </c>
      <c r="C1143" s="8">
        <v>4.5</v>
      </c>
      <c r="D1143" s="9" t="s">
        <v>917</v>
      </c>
      <c r="E1143" s="9"/>
      <c r="F1143" s="9"/>
      <c r="G1143" s="9"/>
      <c r="H1143" s="9"/>
      <c r="I1143" s="9"/>
      <c r="J1143" s="9"/>
      <c r="K1143" s="10"/>
      <c r="L1143" s="639"/>
    </row>
    <row r="1144" spans="2:12" ht="15">
      <c r="B1144" s="1005"/>
      <c r="C1144" s="1006"/>
      <c r="D1144" s="1006"/>
      <c r="E1144" s="1006"/>
      <c r="F1144" s="1006"/>
      <c r="G1144" s="1006"/>
      <c r="H1144" s="1006"/>
      <c r="I1144" s="1006"/>
      <c r="J1144" s="1006"/>
      <c r="K1144" s="1006"/>
      <c r="L1144" s="1007"/>
    </row>
    <row r="1145" spans="2:12" ht="47.25">
      <c r="B1145" s="642" t="s">
        <v>399</v>
      </c>
      <c r="C1145" s="8">
        <f>+'PROPUESTA ECONOMICA(Proponente)'!C66</f>
        <v>4.13</v>
      </c>
      <c r="D1145" s="12" t="str">
        <f>+VLOOKUP('MEMORIAS DE CANTIDADES'!C1145,'PROPUESTA ECONOMICA(Proponente)'!$C$21:$H$310,5,FALSE)</f>
        <v>Cámaras de inspección: 80 CM X 80 CM en concreto 3000 psi, (Incluye suministro e instalación).</v>
      </c>
      <c r="E1145" s="13"/>
      <c r="F1145" s="12"/>
      <c r="G1145" s="12"/>
      <c r="H1145" s="12"/>
      <c r="I1145" s="11" t="s">
        <v>400</v>
      </c>
      <c r="J1145" s="12" t="str">
        <f>+VLOOKUP('MEMORIAS DE CANTIDADES'!C1145,'PROPUESTA ECONOMICA(Proponente)'!$C$21:$H$310,6,FALSE)</f>
        <v>Un</v>
      </c>
      <c r="K1145" s="11" t="s">
        <v>401</v>
      </c>
      <c r="L1145" s="643">
        <f>SUM(L1146:L1153)</f>
        <v>23</v>
      </c>
    </row>
    <row r="1146" spans="2:12" ht="15">
      <c r="B1146" s="644"/>
      <c r="C1146" s="16"/>
      <c r="D1146" s="15"/>
      <c r="E1146" s="15"/>
      <c r="F1146" s="15"/>
      <c r="G1146" s="15"/>
      <c r="H1146" s="15"/>
      <c r="I1146" s="15"/>
      <c r="J1146" s="15"/>
      <c r="K1146" s="17"/>
      <c r="L1146" s="645"/>
    </row>
    <row r="1147" spans="2:12" ht="47.25">
      <c r="B1147" s="646" t="s">
        <v>402</v>
      </c>
      <c r="C1147" s="18" t="s">
        <v>403</v>
      </c>
      <c r="D1147" s="18" t="s">
        <v>404</v>
      </c>
      <c r="E1147" s="18" t="s">
        <v>405</v>
      </c>
      <c r="F1147" s="18" t="s">
        <v>406</v>
      </c>
      <c r="G1147" s="18" t="s">
        <v>407</v>
      </c>
      <c r="H1147" s="5" t="s">
        <v>408</v>
      </c>
      <c r="I1147" s="18" t="s">
        <v>409</v>
      </c>
      <c r="J1147" s="5" t="s">
        <v>410</v>
      </c>
      <c r="K1147" s="5" t="s">
        <v>411</v>
      </c>
      <c r="L1147" s="647" t="s">
        <v>412</v>
      </c>
    </row>
    <row r="1148" spans="2:12" ht="15">
      <c r="B1148" s="648" t="s">
        <v>598</v>
      </c>
      <c r="C1148" s="19"/>
      <c r="D1148" s="19"/>
      <c r="E1148" s="19"/>
      <c r="F1148" s="19"/>
      <c r="G1148" s="20"/>
      <c r="H1148" s="68"/>
      <c r="I1148" s="17"/>
      <c r="J1148" s="19">
        <v>16</v>
      </c>
      <c r="K1148" s="17"/>
      <c r="L1148" s="649">
        <f>PRODUCT(C1148:K1148)</f>
        <v>16</v>
      </c>
    </row>
    <row r="1149" spans="2:12" ht="15">
      <c r="B1149" s="648" t="s">
        <v>806</v>
      </c>
      <c r="C1149" s="20"/>
      <c r="D1149" s="19"/>
      <c r="E1149" s="19"/>
      <c r="F1149" s="19"/>
      <c r="G1149" s="20"/>
      <c r="H1149" s="68"/>
      <c r="I1149" s="17"/>
      <c r="J1149" s="19">
        <v>7</v>
      </c>
      <c r="K1149" s="17"/>
      <c r="L1149" s="649">
        <f>PRODUCT(C1149:K1149)</f>
        <v>7</v>
      </c>
    </row>
    <row r="1150" spans="2:12" ht="15">
      <c r="B1150" s="650" t="s">
        <v>782</v>
      </c>
      <c r="C1150" s="20"/>
      <c r="D1150" s="20"/>
      <c r="E1150" s="20"/>
      <c r="F1150" s="20"/>
      <c r="G1150" s="20"/>
      <c r="H1150" s="20"/>
      <c r="I1150" s="20"/>
      <c r="J1150" s="24">
        <v>2</v>
      </c>
      <c r="K1150" s="17"/>
      <c r="L1150" s="649"/>
    </row>
    <row r="1151" spans="2:12" ht="15">
      <c r="B1151" s="650"/>
      <c r="C1151" s="20"/>
      <c r="D1151" s="20"/>
      <c r="E1151" s="20"/>
      <c r="F1151" s="20"/>
      <c r="G1151" s="20"/>
      <c r="H1151" s="19"/>
      <c r="I1151" s="20"/>
      <c r="J1151" s="24"/>
      <c r="K1151" s="17"/>
      <c r="L1151" s="649"/>
    </row>
    <row r="1152" spans="2:12" ht="15">
      <c r="B1152" s="650"/>
      <c r="C1152" s="20"/>
      <c r="D1152" s="20"/>
      <c r="E1152" s="20"/>
      <c r="F1152" s="20"/>
      <c r="G1152" s="20"/>
      <c r="H1152" s="19"/>
      <c r="I1152" s="20"/>
      <c r="J1152" s="24"/>
      <c r="K1152" s="17"/>
      <c r="L1152" s="645"/>
    </row>
    <row r="1153" spans="2:12" ht="15.75">
      <c r="B1153" s="1002" t="s">
        <v>414</v>
      </c>
      <c r="C1153" s="1003"/>
      <c r="D1153" s="1003"/>
      <c r="E1153" s="1003"/>
      <c r="F1153" s="1003"/>
      <c r="G1153" s="1003"/>
      <c r="H1153" s="1003"/>
      <c r="I1153" s="1003"/>
      <c r="J1153" s="1003"/>
      <c r="K1153" s="1003"/>
      <c r="L1153" s="1004"/>
    </row>
    <row r="1154" spans="2:12">
      <c r="B1154" s="651"/>
      <c r="L1154" s="652"/>
    </row>
    <row r="1155" spans="2:12" ht="15.75">
      <c r="B1155" s="638" t="s">
        <v>398</v>
      </c>
      <c r="C1155" s="8">
        <v>4.5</v>
      </c>
      <c r="D1155" s="9" t="s">
        <v>917</v>
      </c>
      <c r="E1155" s="9"/>
      <c r="F1155" s="9"/>
      <c r="G1155" s="9"/>
      <c r="H1155" s="9"/>
      <c r="I1155" s="9"/>
      <c r="J1155" s="9"/>
      <c r="K1155" s="10"/>
      <c r="L1155" s="639"/>
    </row>
    <row r="1156" spans="2:12" ht="15">
      <c r="B1156" s="1005"/>
      <c r="C1156" s="1006"/>
      <c r="D1156" s="1006"/>
      <c r="E1156" s="1006"/>
      <c r="F1156" s="1006"/>
      <c r="G1156" s="1006"/>
      <c r="H1156" s="1006"/>
      <c r="I1156" s="1006"/>
      <c r="J1156" s="1006"/>
      <c r="K1156" s="1006"/>
      <c r="L1156" s="1007"/>
    </row>
    <row r="1157" spans="2:12" ht="31.5">
      <c r="B1157" s="642" t="s">
        <v>399</v>
      </c>
      <c r="C1157" s="8">
        <f>+'PROPUESTA ECONOMICA(Proponente)'!C67</f>
        <v>4.1399999999999997</v>
      </c>
      <c r="D1157" s="12" t="str">
        <f>+VLOOKUP('MEMORIAS DE CANTIDADES'!C1157,'PROPUESTA ECONOMICA(Proponente)'!$C$21:$H$310,5,FALSE)</f>
        <v>Losa para cancha múltiple e=15 cm en concreto 3500 psi, (Incluye suministro e instalación).</v>
      </c>
      <c r="E1157" s="13"/>
      <c r="F1157" s="12"/>
      <c r="G1157" s="12"/>
      <c r="H1157" s="12"/>
      <c r="I1157" s="11" t="s">
        <v>400</v>
      </c>
      <c r="J1157" s="12" t="str">
        <f>+VLOOKUP('MEMORIAS DE CANTIDADES'!C1157,'PROPUESTA ECONOMICA(Proponente)'!$C$21:$H$310,6,FALSE)</f>
        <v>m3</v>
      </c>
      <c r="K1157" s="11" t="s">
        <v>401</v>
      </c>
      <c r="L1157" s="643">
        <f>SUM(L1158:L1168)</f>
        <v>219.79599999999999</v>
      </c>
    </row>
    <row r="1158" spans="2:12" ht="15">
      <c r="B1158" s="644"/>
      <c r="C1158" s="16"/>
      <c r="D1158" s="15"/>
      <c r="E1158" s="15"/>
      <c r="F1158" s="15"/>
      <c r="G1158" s="15"/>
      <c r="H1158" s="15"/>
      <c r="I1158" s="15"/>
      <c r="J1158" s="15"/>
      <c r="K1158" s="17"/>
      <c r="L1158" s="645"/>
    </row>
    <row r="1159" spans="2:12" ht="47.25">
      <c r="B1159" s="646" t="s">
        <v>402</v>
      </c>
      <c r="C1159" s="18" t="s">
        <v>403</v>
      </c>
      <c r="D1159" s="18" t="s">
        <v>404</v>
      </c>
      <c r="E1159" s="18" t="s">
        <v>405</v>
      </c>
      <c r="F1159" s="18" t="s">
        <v>406</v>
      </c>
      <c r="G1159" s="18" t="s">
        <v>407</v>
      </c>
      <c r="H1159" s="5" t="s">
        <v>408</v>
      </c>
      <c r="I1159" s="18" t="s">
        <v>409</v>
      </c>
      <c r="J1159" s="5" t="s">
        <v>410</v>
      </c>
      <c r="K1159" s="5" t="s">
        <v>411</v>
      </c>
      <c r="L1159" s="647" t="s">
        <v>412</v>
      </c>
    </row>
    <row r="1160" spans="2:12" ht="15">
      <c r="B1160" s="648" t="s">
        <v>782</v>
      </c>
      <c r="C1160" s="19"/>
      <c r="D1160" s="20">
        <v>20.2</v>
      </c>
      <c r="E1160" s="20">
        <v>0.15</v>
      </c>
      <c r="F1160" s="20">
        <v>33.200000000000003</v>
      </c>
      <c r="G1160" s="20"/>
      <c r="H1160" s="68"/>
      <c r="I1160" s="17"/>
      <c r="J1160" s="17"/>
      <c r="K1160" s="17"/>
      <c r="L1160" s="649">
        <f>PRODUCT(C1160:K1160)</f>
        <v>100.596</v>
      </c>
    </row>
    <row r="1161" spans="2:12" ht="15.75">
      <c r="B1161" s="755" t="s">
        <v>936</v>
      </c>
      <c r="C1161" s="20"/>
      <c r="D1161" s="19"/>
      <c r="E1161" s="19"/>
      <c r="F1161" s="19"/>
      <c r="G1161" s="20"/>
      <c r="H1161" s="68"/>
      <c r="I1161" s="17"/>
      <c r="J1161" s="24"/>
      <c r="K1161" s="17"/>
      <c r="L1161" s="649"/>
    </row>
    <row r="1162" spans="2:12" ht="15.75">
      <c r="B1162" s="745" t="s">
        <v>964</v>
      </c>
      <c r="C1162" s="18"/>
      <c r="D1162" s="137">
        <v>2.7</v>
      </c>
      <c r="E1162" s="59"/>
      <c r="F1162" s="45">
        <v>16</v>
      </c>
      <c r="G1162" s="18"/>
      <c r="H1162" s="5"/>
      <c r="I1162" s="55"/>
      <c r="J1162" s="56"/>
      <c r="K1162" s="5"/>
      <c r="L1162" s="656">
        <f t="shared" ref="L1162:L1165" si="71">PRODUCT(C1162:K1162)</f>
        <v>43.2</v>
      </c>
    </row>
    <row r="1163" spans="2:12" ht="15.75">
      <c r="B1163" s="745" t="s">
        <v>965</v>
      </c>
      <c r="C1163" s="18"/>
      <c r="D1163" s="59">
        <v>2</v>
      </c>
      <c r="E1163" s="59"/>
      <c r="F1163" s="45">
        <v>5</v>
      </c>
      <c r="G1163" s="18"/>
      <c r="H1163" s="5"/>
      <c r="I1163" s="55"/>
      <c r="J1163" s="56">
        <v>2</v>
      </c>
      <c r="K1163" s="5"/>
      <c r="L1163" s="656">
        <f t="shared" si="71"/>
        <v>20</v>
      </c>
    </row>
    <row r="1164" spans="2:12" ht="15.75">
      <c r="B1164" s="745" t="s">
        <v>966</v>
      </c>
      <c r="C1164" s="18"/>
      <c r="D1164" s="59">
        <v>4</v>
      </c>
      <c r="E1164" s="59"/>
      <c r="F1164" s="45">
        <v>5</v>
      </c>
      <c r="G1164" s="18"/>
      <c r="H1164" s="5"/>
      <c r="I1164" s="55"/>
      <c r="J1164" s="56">
        <v>2</v>
      </c>
      <c r="K1164" s="5"/>
      <c r="L1164" s="656">
        <f t="shared" si="71"/>
        <v>40</v>
      </c>
    </row>
    <row r="1165" spans="2:12" ht="15.75">
      <c r="B1165" s="745" t="s">
        <v>967</v>
      </c>
      <c r="C1165" s="18"/>
      <c r="D1165" s="59">
        <v>2</v>
      </c>
      <c r="E1165" s="59"/>
      <c r="F1165" s="45">
        <v>8</v>
      </c>
      <c r="G1165" s="18"/>
      <c r="H1165" s="5"/>
      <c r="I1165" s="55"/>
      <c r="J1165" s="56"/>
      <c r="K1165" s="5"/>
      <c r="L1165" s="656">
        <f t="shared" si="71"/>
        <v>16</v>
      </c>
    </row>
    <row r="1166" spans="2:12" ht="15">
      <c r="B1166" s="650"/>
      <c r="C1166" s="20"/>
      <c r="D1166" s="20"/>
      <c r="E1166" s="20"/>
      <c r="F1166" s="20"/>
      <c r="G1166" s="20"/>
      <c r="H1166" s="19"/>
      <c r="I1166" s="20"/>
      <c r="J1166" s="24"/>
      <c r="K1166" s="17"/>
      <c r="L1166" s="649"/>
    </row>
    <row r="1167" spans="2:12" ht="15">
      <c r="B1167" s="650"/>
      <c r="C1167" s="20"/>
      <c r="D1167" s="20"/>
      <c r="E1167" s="20"/>
      <c r="F1167" s="20"/>
      <c r="G1167" s="20"/>
      <c r="H1167" s="19"/>
      <c r="I1167" s="20"/>
      <c r="J1167" s="24"/>
      <c r="K1167" s="17"/>
      <c r="L1167" s="645"/>
    </row>
    <row r="1168" spans="2:12" ht="15.75">
      <c r="B1168" s="1002" t="s">
        <v>414</v>
      </c>
      <c r="C1168" s="1003"/>
      <c r="D1168" s="1003"/>
      <c r="E1168" s="1003"/>
      <c r="F1168" s="1003"/>
      <c r="G1168" s="1003"/>
      <c r="H1168" s="1003"/>
      <c r="I1168" s="1003"/>
      <c r="J1168" s="1003"/>
      <c r="K1168" s="1003"/>
      <c r="L1168" s="1004"/>
    </row>
    <row r="1169" spans="2:12">
      <c r="B1169" s="651"/>
      <c r="L1169" s="652"/>
    </row>
    <row r="1170" spans="2:12" ht="15.75">
      <c r="B1170" s="638" t="s">
        <v>398</v>
      </c>
      <c r="C1170" s="8">
        <v>4.5</v>
      </c>
      <c r="D1170" s="9" t="s">
        <v>917</v>
      </c>
      <c r="E1170" s="9"/>
      <c r="F1170" s="9"/>
      <c r="G1170" s="9"/>
      <c r="H1170" s="9"/>
      <c r="I1170" s="9"/>
      <c r="J1170" s="9"/>
      <c r="K1170" s="10"/>
      <c r="L1170" s="639"/>
    </row>
    <row r="1171" spans="2:12" ht="15">
      <c r="B1171" s="1005"/>
      <c r="C1171" s="1006"/>
      <c r="D1171" s="1006"/>
      <c r="E1171" s="1006"/>
      <c r="F1171" s="1006"/>
      <c r="G1171" s="1006"/>
      <c r="H1171" s="1006"/>
      <c r="I1171" s="1006"/>
      <c r="J1171" s="1006"/>
      <c r="K1171" s="1006"/>
      <c r="L1171" s="1007"/>
    </row>
    <row r="1172" spans="2:12" ht="31.5">
      <c r="B1172" s="642" t="s">
        <v>399</v>
      </c>
      <c r="C1172" s="8">
        <f>+'PROPUESTA ECONOMICA(Proponente)'!C68</f>
        <v>4.1500000000000004</v>
      </c>
      <c r="D1172" s="12" t="str">
        <f>+VLOOKUP('MEMORIAS DE CANTIDADES'!C1172,'PROPUESTA ECONOMICA(Proponente)'!$C$21:$H$310,5,FALSE)</f>
        <v xml:space="preserve">Suministro e instalación de sistema de drenaje  ACODRAINE N200 20,0 H36 </v>
      </c>
      <c r="E1172" s="13"/>
      <c r="F1172" s="12"/>
      <c r="G1172" s="12"/>
      <c r="H1172" s="12"/>
      <c r="I1172" s="11" t="s">
        <v>400</v>
      </c>
      <c r="J1172" s="12" t="str">
        <f>+VLOOKUP('MEMORIAS DE CANTIDADES'!C1172,'PROPUESTA ECONOMICA(Proponente)'!$C$21:$H$310,6,FALSE)</f>
        <v>ml</v>
      </c>
      <c r="K1172" s="11" t="s">
        <v>401</v>
      </c>
      <c r="L1172" s="643">
        <f>SUM(L1173:L1180)</f>
        <v>498</v>
      </c>
    </row>
    <row r="1173" spans="2:12" ht="15">
      <c r="B1173" s="644"/>
      <c r="C1173" s="16"/>
      <c r="D1173" s="15"/>
      <c r="E1173" s="15"/>
      <c r="F1173" s="15"/>
      <c r="G1173" s="15"/>
      <c r="H1173" s="15"/>
      <c r="I1173" s="15"/>
      <c r="J1173" s="15"/>
      <c r="K1173" s="17"/>
      <c r="L1173" s="645"/>
    </row>
    <row r="1174" spans="2:12" ht="47.25">
      <c r="B1174" s="646" t="s">
        <v>402</v>
      </c>
      <c r="C1174" s="18" t="s">
        <v>403</v>
      </c>
      <c r="D1174" s="18" t="s">
        <v>404</v>
      </c>
      <c r="E1174" s="18" t="s">
        <v>405</v>
      </c>
      <c r="F1174" s="18" t="s">
        <v>406</v>
      </c>
      <c r="G1174" s="18" t="s">
        <v>407</v>
      </c>
      <c r="H1174" s="5" t="s">
        <v>408</v>
      </c>
      <c r="I1174" s="18" t="s">
        <v>409</v>
      </c>
      <c r="J1174" s="5" t="s">
        <v>410</v>
      </c>
      <c r="K1174" s="5" t="s">
        <v>411</v>
      </c>
      <c r="L1174" s="647" t="s">
        <v>412</v>
      </c>
    </row>
    <row r="1175" spans="2:12" ht="15">
      <c r="B1175" s="648" t="s">
        <v>734</v>
      </c>
      <c r="C1175" s="19"/>
      <c r="D1175" s="19"/>
      <c r="E1175" s="19"/>
      <c r="F1175" s="19">
        <v>112</v>
      </c>
      <c r="G1175" s="20"/>
      <c r="H1175" s="68"/>
      <c r="I1175" s="17"/>
      <c r="J1175" s="28">
        <v>4</v>
      </c>
      <c r="K1175" s="17"/>
      <c r="L1175" s="649">
        <f>PRODUCT(C1175:K1175)</f>
        <v>448</v>
      </c>
    </row>
    <row r="1176" spans="2:12" ht="15">
      <c r="B1176" s="648"/>
      <c r="C1176" s="20"/>
      <c r="D1176" s="19"/>
      <c r="E1176" s="19"/>
      <c r="F1176" s="19">
        <v>50</v>
      </c>
      <c r="G1176" s="20"/>
      <c r="H1176" s="68"/>
      <c r="I1176" s="17"/>
      <c r="J1176" s="28">
        <v>1</v>
      </c>
      <c r="K1176" s="17"/>
      <c r="L1176" s="649">
        <f>PRODUCT(C1176:K1176)</f>
        <v>50</v>
      </c>
    </row>
    <row r="1177" spans="2:12" ht="15">
      <c r="B1177" s="650"/>
      <c r="C1177" s="20"/>
      <c r="D1177" s="20"/>
      <c r="E1177" s="20"/>
      <c r="F1177" s="20"/>
      <c r="G1177" s="20"/>
      <c r="H1177" s="20"/>
      <c r="I1177" s="20"/>
      <c r="J1177" s="24"/>
      <c r="K1177" s="17"/>
      <c r="L1177" s="649"/>
    </row>
    <row r="1178" spans="2:12" ht="15">
      <c r="B1178" s="650"/>
      <c r="C1178" s="20"/>
      <c r="D1178" s="20"/>
      <c r="E1178" s="20"/>
      <c r="F1178" s="20"/>
      <c r="G1178" s="20"/>
      <c r="H1178" s="19"/>
      <c r="I1178" s="20"/>
      <c r="J1178" s="24"/>
      <c r="K1178" s="17"/>
      <c r="L1178" s="649"/>
    </row>
    <row r="1179" spans="2:12" ht="15">
      <c r="B1179" s="650"/>
      <c r="C1179" s="20"/>
      <c r="D1179" s="20"/>
      <c r="E1179" s="20"/>
      <c r="F1179" s="20"/>
      <c r="G1179" s="20"/>
      <c r="H1179" s="19"/>
      <c r="I1179" s="20"/>
      <c r="J1179" s="24"/>
      <c r="K1179" s="17"/>
      <c r="L1179" s="645"/>
    </row>
    <row r="1180" spans="2:12" ht="15.75">
      <c r="B1180" s="1002" t="s">
        <v>414</v>
      </c>
      <c r="C1180" s="1003"/>
      <c r="D1180" s="1003"/>
      <c r="E1180" s="1003"/>
      <c r="F1180" s="1003"/>
      <c r="G1180" s="1003"/>
      <c r="H1180" s="1003"/>
      <c r="I1180" s="1003"/>
      <c r="J1180" s="1003"/>
      <c r="K1180" s="1003"/>
      <c r="L1180" s="1004"/>
    </row>
    <row r="1181" spans="2:12" ht="15.75">
      <c r="B1181" s="756"/>
      <c r="C1181" s="757"/>
      <c r="D1181" s="757"/>
      <c r="E1181" s="757"/>
      <c r="F1181" s="757"/>
      <c r="G1181" s="757"/>
      <c r="H1181" s="757"/>
      <c r="I1181" s="757"/>
      <c r="J1181" s="757"/>
      <c r="K1181" s="757"/>
      <c r="L1181" s="758"/>
    </row>
    <row r="1182" spans="2:12" ht="15.75">
      <c r="B1182" s="638" t="s">
        <v>398</v>
      </c>
      <c r="C1182" s="8">
        <v>4.5</v>
      </c>
      <c r="D1182" s="9" t="s">
        <v>917</v>
      </c>
      <c r="E1182" s="9"/>
      <c r="F1182" s="9"/>
      <c r="G1182" s="9"/>
      <c r="H1182" s="9"/>
      <c r="I1182" s="9"/>
      <c r="J1182" s="9"/>
      <c r="K1182" s="10"/>
      <c r="L1182" s="639"/>
    </row>
    <row r="1183" spans="2:12" ht="15">
      <c r="B1183" s="1005"/>
      <c r="C1183" s="1006"/>
      <c r="D1183" s="1006"/>
      <c r="E1183" s="1006"/>
      <c r="F1183" s="1006"/>
      <c r="G1183" s="1006"/>
      <c r="H1183" s="1006"/>
      <c r="I1183" s="1006"/>
      <c r="J1183" s="1006"/>
      <c r="K1183" s="1006"/>
      <c r="L1183" s="1007"/>
    </row>
    <row r="1184" spans="2:12" ht="110.25">
      <c r="B1184" s="642" t="s">
        <v>399</v>
      </c>
      <c r="C1184" s="8">
        <f>+'PROPUESTA ECONOMICA(Proponente)'!C69</f>
        <v>4.16</v>
      </c>
      <c r="D1184" s="12" t="str">
        <f>+VLOOKUP('MEMORIAS DE CANTIDADES'!C1184,'PROPUESTA ECONOMICA(Proponente)'!$C$21:$H$310,5,FALSE)</f>
        <v xml:space="preserve">Suministro y  Relleno material seleccionado con  zahorra de granulometría fina, arena y polvillo, en relación 2:2:1,  (Cernida-mezclada), extendida en forma   homogénea, en un e=0,10 m y acabada en una capa de 1cm en la parte superior para material acondicionador tipo polvo de ladrillo. </v>
      </c>
      <c r="E1184" s="13"/>
      <c r="F1184" s="12"/>
      <c r="G1184" s="12"/>
      <c r="H1184" s="12"/>
      <c r="I1184" s="11" t="s">
        <v>400</v>
      </c>
      <c r="J1184" s="12" t="str">
        <f>+VLOOKUP('MEMORIAS DE CANTIDADES'!C1184,'PROPUESTA ECONOMICA(Proponente)'!$C$21:$H$310,6,FALSE)</f>
        <v>m3</v>
      </c>
      <c r="K1184" s="11" t="s">
        <v>401</v>
      </c>
      <c r="L1184" s="643">
        <f>SUM(L1185:L1192)</f>
        <v>217.80000000000007</v>
      </c>
    </row>
    <row r="1185" spans="2:12" ht="15">
      <c r="B1185" s="644"/>
      <c r="C1185" s="16"/>
      <c r="D1185" s="15"/>
      <c r="E1185" s="15"/>
      <c r="F1185" s="15"/>
      <c r="G1185" s="15"/>
      <c r="H1185" s="15"/>
      <c r="I1185" s="15"/>
      <c r="J1185" s="15"/>
      <c r="K1185" s="17"/>
      <c r="L1185" s="645"/>
    </row>
    <row r="1186" spans="2:12" ht="47.25">
      <c r="B1186" s="646" t="s">
        <v>402</v>
      </c>
      <c r="C1186" s="18" t="s">
        <v>403</v>
      </c>
      <c r="D1186" s="18" t="s">
        <v>404</v>
      </c>
      <c r="E1186" s="18" t="s">
        <v>405</v>
      </c>
      <c r="F1186" s="18" t="s">
        <v>406</v>
      </c>
      <c r="G1186" s="18" t="s">
        <v>407</v>
      </c>
      <c r="H1186" s="5" t="s">
        <v>408</v>
      </c>
      <c r="I1186" s="18" t="s">
        <v>409</v>
      </c>
      <c r="J1186" s="5" t="s">
        <v>410</v>
      </c>
      <c r="K1186" s="5" t="s">
        <v>411</v>
      </c>
      <c r="L1186" s="647" t="s">
        <v>412</v>
      </c>
    </row>
    <row r="1187" spans="2:12" ht="15">
      <c r="B1187" s="648" t="s">
        <v>807</v>
      </c>
      <c r="C1187" s="20">
        <v>558</v>
      </c>
      <c r="D1187" s="19"/>
      <c r="E1187" s="19">
        <v>0.1</v>
      </c>
      <c r="F1187" s="19"/>
      <c r="G1187" s="20"/>
      <c r="H1187" s="68"/>
      <c r="I1187" s="17"/>
      <c r="J1187" s="22"/>
      <c r="K1187" s="17">
        <v>1.1000000000000001</v>
      </c>
      <c r="L1187" s="649">
        <f>PRODUCT(C1187:K1187)</f>
        <v>61.38000000000001</v>
      </c>
    </row>
    <row r="1188" spans="2:12" ht="15">
      <c r="B1188" s="648"/>
      <c r="C1188" s="270">
        <f>1980-C1187</f>
        <v>1422</v>
      </c>
      <c r="D1188" s="19"/>
      <c r="E1188" s="19">
        <v>0.1</v>
      </c>
      <c r="F1188" s="19"/>
      <c r="G1188" s="20"/>
      <c r="H1188" s="68"/>
      <c r="I1188" s="17"/>
      <c r="J1188" s="24"/>
      <c r="K1188" s="17">
        <v>1.1000000000000001</v>
      </c>
      <c r="L1188" s="649">
        <f t="shared" ref="L1188" si="72">PRODUCT(C1188:K1188)</f>
        <v>156.42000000000004</v>
      </c>
    </row>
    <row r="1189" spans="2:12" ht="15">
      <c r="B1189" s="650"/>
      <c r="C1189" s="20"/>
      <c r="D1189" s="20"/>
      <c r="E1189" s="19"/>
      <c r="F1189" s="20"/>
      <c r="G1189" s="20"/>
      <c r="H1189" s="20"/>
      <c r="I1189" s="20"/>
      <c r="J1189" s="24"/>
      <c r="K1189" s="17"/>
      <c r="L1189" s="649"/>
    </row>
    <row r="1190" spans="2:12" ht="15">
      <c r="B1190" s="650"/>
      <c r="C1190" s="359"/>
      <c r="D1190" s="20"/>
      <c r="E1190" s="20"/>
      <c r="F1190" s="20"/>
      <c r="G1190" s="20"/>
      <c r="H1190" s="19"/>
      <c r="I1190" s="20"/>
      <c r="J1190" s="24"/>
      <c r="K1190" s="17"/>
      <c r="L1190" s="649"/>
    </row>
    <row r="1191" spans="2:12" ht="15">
      <c r="B1191" s="650"/>
      <c r="C1191" s="39"/>
      <c r="D1191" s="20"/>
      <c r="E1191" s="20"/>
      <c r="F1191" s="20"/>
      <c r="G1191" s="20"/>
      <c r="H1191" s="19"/>
      <c r="I1191" s="20"/>
      <c r="J1191" s="24"/>
      <c r="K1191" s="17"/>
      <c r="L1191" s="645"/>
    </row>
    <row r="1192" spans="2:12" ht="15.75">
      <c r="B1192" s="1002" t="s">
        <v>414</v>
      </c>
      <c r="C1192" s="1003"/>
      <c r="D1192" s="1003"/>
      <c r="E1192" s="1003"/>
      <c r="F1192" s="1003"/>
      <c r="G1192" s="1003"/>
      <c r="H1192" s="1003"/>
      <c r="I1192" s="1003"/>
      <c r="J1192" s="1003"/>
      <c r="K1192" s="1003"/>
      <c r="L1192" s="1004"/>
    </row>
    <row r="1193" spans="2:12" ht="15.75">
      <c r="B1193" s="756"/>
      <c r="C1193" s="757"/>
      <c r="D1193" s="757"/>
      <c r="E1193" s="757"/>
      <c r="F1193" s="757"/>
      <c r="G1193" s="757"/>
      <c r="H1193" s="757"/>
      <c r="I1193" s="757"/>
      <c r="J1193" s="757"/>
      <c r="K1193" s="757"/>
      <c r="L1193" s="758"/>
    </row>
    <row r="1194" spans="2:12" ht="15.75">
      <c r="B1194" s="756"/>
      <c r="C1194" s="757"/>
      <c r="D1194" s="757"/>
      <c r="E1194" s="757"/>
      <c r="F1194" s="757"/>
      <c r="G1194" s="757"/>
      <c r="H1194" s="757"/>
      <c r="I1194" s="757"/>
      <c r="J1194" s="757"/>
      <c r="K1194" s="757"/>
      <c r="L1194" s="758"/>
    </row>
    <row r="1195" spans="2:12" ht="15.75">
      <c r="B1195" s="638" t="s">
        <v>398</v>
      </c>
      <c r="C1195" s="8">
        <v>5</v>
      </c>
      <c r="D1195" s="9" t="s">
        <v>1029</v>
      </c>
      <c r="E1195" s="9"/>
      <c r="F1195" s="9"/>
      <c r="G1195" s="9"/>
      <c r="H1195" s="9"/>
      <c r="I1195" s="9"/>
      <c r="J1195" s="9"/>
      <c r="K1195" s="10"/>
      <c r="L1195" s="639"/>
    </row>
    <row r="1196" spans="2:12" ht="15">
      <c r="B1196" s="1005"/>
      <c r="C1196" s="1006"/>
      <c r="D1196" s="1006"/>
      <c r="E1196" s="1006"/>
      <c r="F1196" s="1006"/>
      <c r="G1196" s="1006"/>
      <c r="H1196" s="1006"/>
      <c r="I1196" s="1006"/>
      <c r="J1196" s="1006"/>
      <c r="K1196" s="1006"/>
      <c r="L1196" s="1007"/>
    </row>
    <row r="1197" spans="2:12" ht="31.5">
      <c r="B1197" s="733" t="s">
        <v>399</v>
      </c>
      <c r="C1197" s="25">
        <f>+'PROPUESTA ECONOMICA(Proponente)'!C72</f>
        <v>5.0999999999999996</v>
      </c>
      <c r="D1197" s="12" t="str">
        <f>+VLOOKUP('MEMORIAS DE CANTIDADES'!C1197,'PROPUESTA ECONOMICA(Proponente)'!$C$21:$H$310,5,FALSE)</f>
        <v>Suministro y Levante en Block No 6 hueco, con mortero pega 1:4</v>
      </c>
      <c r="E1197" s="13"/>
      <c r="F1197" s="12"/>
      <c r="G1197" s="12"/>
      <c r="H1197" s="12"/>
      <c r="I1197" s="11" t="s">
        <v>400</v>
      </c>
      <c r="J1197" s="12" t="str">
        <f>+VLOOKUP('MEMORIAS DE CANTIDADES'!C1197,'PROPUESTA ECONOMICA(Proponente)'!$C$21:$H$310,6,FALSE)</f>
        <v>m2</v>
      </c>
      <c r="K1197" s="11" t="s">
        <v>401</v>
      </c>
      <c r="L1197" s="643">
        <f>SUM(L1198:L1206)</f>
        <v>211.64</v>
      </c>
    </row>
    <row r="1198" spans="2:12" ht="15">
      <c r="B1198" s="644"/>
      <c r="C1198" s="16"/>
      <c r="D1198" s="15"/>
      <c r="E1198" s="15"/>
      <c r="F1198" s="15"/>
      <c r="G1198" s="15"/>
      <c r="H1198" s="15"/>
      <c r="I1198" s="15"/>
      <c r="J1198" s="15"/>
      <c r="K1198" s="17"/>
      <c r="L1198" s="645"/>
    </row>
    <row r="1199" spans="2:12" ht="47.25">
      <c r="B1199" s="646" t="s">
        <v>402</v>
      </c>
      <c r="C1199" s="18" t="s">
        <v>403</v>
      </c>
      <c r="D1199" s="18" t="s">
        <v>404</v>
      </c>
      <c r="E1199" s="18" t="s">
        <v>405</v>
      </c>
      <c r="F1199" s="18" t="s">
        <v>406</v>
      </c>
      <c r="G1199" s="18" t="s">
        <v>407</v>
      </c>
      <c r="H1199" s="5" t="s">
        <v>408</v>
      </c>
      <c r="I1199" s="18" t="s">
        <v>409</v>
      </c>
      <c r="J1199" s="5" t="s">
        <v>410</v>
      </c>
      <c r="K1199" s="5" t="s">
        <v>411</v>
      </c>
      <c r="L1199" s="647" t="s">
        <v>412</v>
      </c>
    </row>
    <row r="1200" spans="2:12" ht="15.75">
      <c r="B1200" s="759" t="s">
        <v>523</v>
      </c>
      <c r="C1200" s="19">
        <v>50</v>
      </c>
      <c r="D1200" s="19"/>
      <c r="E1200" s="19"/>
      <c r="F1200" s="19"/>
      <c r="G1200" s="20"/>
      <c r="H1200" s="68"/>
      <c r="I1200" s="17">
        <v>2</v>
      </c>
      <c r="J1200" s="161">
        <v>2</v>
      </c>
      <c r="K1200" s="17"/>
      <c r="L1200" s="649">
        <f>PRODUCT(C1200:K1200)</f>
        <v>200</v>
      </c>
    </row>
    <row r="1201" spans="2:12" ht="15.75">
      <c r="B1201" s="759" t="s">
        <v>524</v>
      </c>
      <c r="C1201" s="19"/>
      <c r="D1201" s="20">
        <v>0.2</v>
      </c>
      <c r="E1201" s="19"/>
      <c r="F1201" s="19">
        <f>6*2+23.1*2</f>
        <v>58.2</v>
      </c>
      <c r="G1201" s="20"/>
      <c r="H1201" s="68"/>
      <c r="I1201" s="17"/>
      <c r="J1201" s="22"/>
      <c r="K1201" s="17"/>
      <c r="L1201" s="649">
        <f>PRODUCT(C1201:K1201)</f>
        <v>11.64</v>
      </c>
    </row>
    <row r="1202" spans="2:12" ht="15">
      <c r="B1202" s="648"/>
      <c r="C1202" s="20"/>
      <c r="D1202" s="19"/>
      <c r="E1202" s="19"/>
      <c r="F1202" s="19"/>
      <c r="G1202" s="20"/>
      <c r="H1202" s="68"/>
      <c r="I1202" s="17"/>
      <c r="J1202" s="24"/>
      <c r="K1202" s="17"/>
      <c r="L1202" s="649"/>
    </row>
    <row r="1203" spans="2:12" ht="15">
      <c r="B1203" s="648"/>
      <c r="C1203" s="20"/>
      <c r="D1203" s="20"/>
      <c r="E1203" s="20"/>
      <c r="F1203" s="20"/>
      <c r="G1203" s="20"/>
      <c r="H1203" s="20"/>
      <c r="I1203" s="20"/>
      <c r="J1203" s="24"/>
      <c r="K1203" s="17"/>
      <c r="L1203" s="649"/>
    </row>
    <row r="1204" spans="2:12" ht="15">
      <c r="B1204" s="650"/>
      <c r="C1204" s="20"/>
      <c r="D1204" s="20"/>
      <c r="E1204" s="20"/>
      <c r="F1204" s="20"/>
      <c r="G1204" s="20"/>
      <c r="H1204" s="19"/>
      <c r="I1204" s="20"/>
      <c r="J1204" s="24"/>
      <c r="K1204" s="17"/>
      <c r="L1204" s="649"/>
    </row>
    <row r="1205" spans="2:12" ht="15">
      <c r="B1205" s="650"/>
      <c r="C1205" s="20"/>
      <c r="D1205" s="20"/>
      <c r="E1205" s="20"/>
      <c r="F1205" s="20"/>
      <c r="G1205" s="20"/>
      <c r="H1205" s="19"/>
      <c r="I1205" s="20"/>
      <c r="J1205" s="24"/>
      <c r="K1205" s="17"/>
      <c r="L1205" s="645"/>
    </row>
    <row r="1206" spans="2:12" ht="15.75">
      <c r="B1206" s="1002" t="s">
        <v>414</v>
      </c>
      <c r="C1206" s="1003"/>
      <c r="D1206" s="1003"/>
      <c r="E1206" s="1003"/>
      <c r="F1206" s="1003"/>
      <c r="G1206" s="1003"/>
      <c r="H1206" s="1003"/>
      <c r="I1206" s="1003"/>
      <c r="J1206" s="1003"/>
      <c r="K1206" s="1003"/>
      <c r="L1206" s="1004"/>
    </row>
    <row r="1207" spans="2:12" ht="15.75">
      <c r="B1207" s="756"/>
      <c r="C1207" s="757"/>
      <c r="D1207" s="757"/>
      <c r="E1207" s="757"/>
      <c r="F1207" s="757"/>
      <c r="G1207" s="757"/>
      <c r="H1207" s="757"/>
      <c r="I1207" s="757"/>
      <c r="J1207" s="757"/>
      <c r="K1207" s="757"/>
      <c r="L1207" s="758"/>
    </row>
    <row r="1208" spans="2:12" ht="15.75">
      <c r="B1208" s="638" t="s">
        <v>398</v>
      </c>
      <c r="C1208" s="8">
        <v>5</v>
      </c>
      <c r="D1208" s="9" t="s">
        <v>1029</v>
      </c>
      <c r="E1208" s="9"/>
      <c r="F1208" s="9"/>
      <c r="G1208" s="9"/>
      <c r="H1208" s="9"/>
      <c r="I1208" s="9"/>
      <c r="J1208" s="9"/>
      <c r="K1208" s="10"/>
      <c r="L1208" s="639"/>
    </row>
    <row r="1209" spans="2:12" ht="15">
      <c r="B1209" s="1005"/>
      <c r="C1209" s="1006"/>
      <c r="D1209" s="1006"/>
      <c r="E1209" s="1006"/>
      <c r="F1209" s="1006"/>
      <c r="G1209" s="1006"/>
      <c r="H1209" s="1006"/>
      <c r="I1209" s="1006"/>
      <c r="J1209" s="1006"/>
      <c r="K1209" s="1006"/>
      <c r="L1209" s="1007"/>
    </row>
    <row r="1210" spans="2:12" ht="31.5">
      <c r="B1210" s="733" t="s">
        <v>399</v>
      </c>
      <c r="C1210" s="25">
        <f>+'PROPUESTA ECONOMICA(Proponente)'!C73</f>
        <v>5.2</v>
      </c>
      <c r="D1210" s="12" t="str">
        <f>+VLOOKUP('MEMORIAS DE CANTIDADES'!C1210,'PROPUESTA ECONOMICA(Proponente)'!$C$21:$H$310,5,FALSE)</f>
        <v>Suministro y Levante en Block No 4 hueco, con mortero pega 1:4</v>
      </c>
      <c r="E1210" s="13"/>
      <c r="F1210" s="12"/>
      <c r="G1210" s="12"/>
      <c r="H1210" s="12"/>
      <c r="I1210" s="11" t="s">
        <v>400</v>
      </c>
      <c r="J1210" s="12" t="str">
        <f>+VLOOKUP('MEMORIAS DE CANTIDADES'!C1210,'PROPUESTA ECONOMICA(Proponente)'!$C$21:$H$310,6,FALSE)</f>
        <v>m2</v>
      </c>
      <c r="K1210" s="11" t="s">
        <v>401</v>
      </c>
      <c r="L1210" s="643">
        <f>SUM(L1211:L1255)</f>
        <v>2022.9600999999993</v>
      </c>
    </row>
    <row r="1211" spans="2:12" ht="15">
      <c r="B1211" s="644"/>
      <c r="C1211" s="16"/>
      <c r="D1211" s="15"/>
      <c r="E1211" s="15"/>
      <c r="F1211" s="15"/>
      <c r="G1211" s="15"/>
      <c r="H1211" s="15"/>
      <c r="I1211" s="15"/>
      <c r="J1211" s="15"/>
      <c r="K1211" s="17"/>
      <c r="L1211" s="645"/>
    </row>
    <row r="1212" spans="2:12" ht="47.25">
      <c r="B1212" s="646" t="s">
        <v>402</v>
      </c>
      <c r="C1212" s="18" t="s">
        <v>403</v>
      </c>
      <c r="D1212" s="18" t="s">
        <v>404</v>
      </c>
      <c r="E1212" s="18" t="s">
        <v>405</v>
      </c>
      <c r="F1212" s="18" t="s">
        <v>406</v>
      </c>
      <c r="G1212" s="18" t="s">
        <v>407</v>
      </c>
      <c r="H1212" s="5" t="s">
        <v>408</v>
      </c>
      <c r="I1212" s="18" t="s">
        <v>409</v>
      </c>
      <c r="J1212" s="5" t="s">
        <v>410</v>
      </c>
      <c r="K1212" s="5" t="s">
        <v>411</v>
      </c>
      <c r="L1212" s="647" t="s">
        <v>412</v>
      </c>
    </row>
    <row r="1213" spans="2:12" ht="15.75">
      <c r="B1213" s="759" t="s">
        <v>734</v>
      </c>
      <c r="C1213" s="19"/>
      <c r="D1213" s="19"/>
      <c r="E1213" s="19"/>
      <c r="F1213" s="19"/>
      <c r="G1213" s="20"/>
      <c r="H1213" s="68"/>
      <c r="I1213" s="17"/>
      <c r="J1213" s="22"/>
      <c r="K1213" s="17"/>
      <c r="L1213" s="649"/>
    </row>
    <row r="1214" spans="2:12" ht="15">
      <c r="B1214" s="648" t="s">
        <v>808</v>
      </c>
      <c r="C1214" s="19"/>
      <c r="D1214" s="19"/>
      <c r="E1214" s="19">
        <v>2.4</v>
      </c>
      <c r="F1214" s="19">
        <v>45.4</v>
      </c>
      <c r="G1214" s="20"/>
      <c r="H1214" s="68"/>
      <c r="I1214" s="17">
        <v>2</v>
      </c>
      <c r="J1214" s="22"/>
      <c r="K1214" s="17"/>
      <c r="L1214" s="649">
        <f>PRODUCT(C1214:K1214)</f>
        <v>217.92</v>
      </c>
    </row>
    <row r="1215" spans="2:12" ht="15">
      <c r="B1215" s="648" t="s">
        <v>809</v>
      </c>
      <c r="C1215" s="19"/>
      <c r="D1215" s="19"/>
      <c r="E1215" s="19">
        <v>3.1</v>
      </c>
      <c r="F1215" s="19">
        <f>5.29+5.3+5.3+5.07+5+5+5</f>
        <v>35.96</v>
      </c>
      <c r="G1215" s="20"/>
      <c r="H1215" s="68"/>
      <c r="I1215" s="17">
        <v>2</v>
      </c>
      <c r="J1215" s="22"/>
      <c r="K1215" s="17"/>
      <c r="L1215" s="649">
        <f t="shared" ref="L1215:L1219" si="73">PRODUCT(C1215:K1215)</f>
        <v>222.952</v>
      </c>
    </row>
    <row r="1216" spans="2:12" ht="15">
      <c r="B1216" s="648" t="s">
        <v>810</v>
      </c>
      <c r="C1216" s="19"/>
      <c r="D1216" s="19">
        <f>1.62+11.4</f>
        <v>13.02</v>
      </c>
      <c r="E1216" s="19"/>
      <c r="F1216" s="19"/>
      <c r="G1216" s="20"/>
      <c r="H1216" s="68"/>
      <c r="I1216" s="17">
        <v>2</v>
      </c>
      <c r="J1216" s="22">
        <v>2</v>
      </c>
      <c r="K1216" s="17"/>
      <c r="L1216" s="649">
        <f t="shared" si="73"/>
        <v>52.08</v>
      </c>
    </row>
    <row r="1217" spans="2:12" ht="15">
      <c r="B1217" s="648" t="s">
        <v>811</v>
      </c>
      <c r="C1217" s="19"/>
      <c r="D1217" s="19">
        <f>1.62+11.4</f>
        <v>13.02</v>
      </c>
      <c r="E1217" s="19"/>
      <c r="F1217" s="19"/>
      <c r="G1217" s="20"/>
      <c r="H1217" s="68"/>
      <c r="I1217" s="17">
        <v>2</v>
      </c>
      <c r="J1217" s="22">
        <v>2</v>
      </c>
      <c r="K1217" s="17"/>
      <c r="L1217" s="649">
        <f t="shared" si="73"/>
        <v>52.08</v>
      </c>
    </row>
    <row r="1218" spans="2:12" ht="15">
      <c r="B1218" s="648" t="s">
        <v>812</v>
      </c>
      <c r="C1218" s="19"/>
      <c r="D1218" s="19"/>
      <c r="E1218" s="19">
        <v>2.4</v>
      </c>
      <c r="F1218" s="19">
        <f>4.1+0.8*5+1.8+2.3+6.12+4.1+1.32+2.4+4</f>
        <v>30.14</v>
      </c>
      <c r="G1218" s="20"/>
      <c r="H1218" s="68"/>
      <c r="I1218" s="17">
        <v>2</v>
      </c>
      <c r="J1218" s="22"/>
      <c r="K1218" s="17"/>
      <c r="L1218" s="649">
        <f t="shared" si="73"/>
        <v>144.672</v>
      </c>
    </row>
    <row r="1219" spans="2:12" ht="15">
      <c r="B1219" s="648" t="s">
        <v>526</v>
      </c>
      <c r="C1219" s="19"/>
      <c r="D1219" s="19">
        <f>-10*2</f>
        <v>-20</v>
      </c>
      <c r="E1219" s="19"/>
      <c r="F1219" s="19"/>
      <c r="G1219" s="20"/>
      <c r="H1219" s="68"/>
      <c r="I1219" s="17"/>
      <c r="J1219" s="22"/>
      <c r="K1219" s="17"/>
      <c r="L1219" s="649">
        <f t="shared" si="73"/>
        <v>-20</v>
      </c>
    </row>
    <row r="1220" spans="2:12" ht="15">
      <c r="B1220" s="648"/>
      <c r="C1220" s="19"/>
      <c r="D1220" s="19"/>
      <c r="E1220" s="19"/>
      <c r="F1220" s="19"/>
      <c r="G1220" s="20"/>
      <c r="H1220" s="68"/>
      <c r="I1220" s="17"/>
      <c r="J1220" s="22"/>
      <c r="K1220" s="17"/>
      <c r="L1220" s="649"/>
    </row>
    <row r="1221" spans="2:12" ht="15.75">
      <c r="B1221" s="759" t="s">
        <v>807</v>
      </c>
      <c r="C1221" s="20"/>
      <c r="D1221" s="19"/>
      <c r="E1221" s="19"/>
      <c r="F1221" s="19"/>
      <c r="G1221" s="20"/>
      <c r="H1221" s="68"/>
      <c r="I1221" s="17"/>
      <c r="J1221" s="24"/>
      <c r="K1221" s="17"/>
      <c r="L1221" s="649"/>
    </row>
    <row r="1222" spans="2:12" ht="15">
      <c r="B1222" s="648" t="s">
        <v>808</v>
      </c>
      <c r="C1222" s="19"/>
      <c r="D1222" s="19"/>
      <c r="E1222" s="19">
        <v>2.4</v>
      </c>
      <c r="F1222" s="19">
        <v>54</v>
      </c>
      <c r="G1222" s="20"/>
      <c r="H1222" s="20"/>
      <c r="I1222" s="20"/>
      <c r="J1222" s="24"/>
      <c r="K1222" s="17"/>
      <c r="L1222" s="649">
        <f t="shared" ref="L1222:L1241" si="74">PRODUCT(C1222:K1222)</f>
        <v>129.6</v>
      </c>
    </row>
    <row r="1223" spans="2:12" ht="15">
      <c r="B1223" s="648" t="s">
        <v>809</v>
      </c>
      <c r="C1223" s="19"/>
      <c r="D1223" s="19"/>
      <c r="E1223" s="19">
        <v>3.1</v>
      </c>
      <c r="F1223" s="19">
        <f>4.87+5+3.72+3.85+6.413+6.413+6.375+3.39+3.72+5+4.87+4</f>
        <v>57.621000000000002</v>
      </c>
      <c r="G1223" s="20"/>
      <c r="H1223" s="20"/>
      <c r="I1223" s="20"/>
      <c r="J1223" s="24"/>
      <c r="K1223" s="17"/>
      <c r="L1223" s="649">
        <f t="shared" si="74"/>
        <v>178.6251</v>
      </c>
    </row>
    <row r="1224" spans="2:12" ht="15">
      <c r="B1224" s="648" t="s">
        <v>810</v>
      </c>
      <c r="C1224" s="19"/>
      <c r="D1224" s="19">
        <f>1.62+11.4</f>
        <v>13.02</v>
      </c>
      <c r="E1224" s="19"/>
      <c r="F1224" s="19"/>
      <c r="G1224" s="20"/>
      <c r="H1224" s="20"/>
      <c r="I1224" s="20">
        <v>2</v>
      </c>
      <c r="J1224" s="24"/>
      <c r="K1224" s="17"/>
      <c r="L1224" s="649">
        <f t="shared" si="74"/>
        <v>26.04</v>
      </c>
    </row>
    <row r="1225" spans="2:12" ht="15">
      <c r="B1225" s="648" t="s">
        <v>811</v>
      </c>
      <c r="C1225" s="19"/>
      <c r="D1225" s="19"/>
      <c r="E1225" s="19"/>
      <c r="F1225" s="19"/>
      <c r="G1225" s="20"/>
      <c r="H1225" s="20"/>
      <c r="I1225" s="20"/>
      <c r="J1225" s="24"/>
      <c r="K1225" s="17"/>
      <c r="L1225" s="649">
        <f t="shared" si="74"/>
        <v>0</v>
      </c>
    </row>
    <row r="1226" spans="2:12" ht="15">
      <c r="B1226" s="648" t="s">
        <v>812</v>
      </c>
      <c r="C1226" s="19"/>
      <c r="D1226" s="19"/>
      <c r="E1226" s="19">
        <v>2.4</v>
      </c>
      <c r="F1226" s="19">
        <f>+(0.6*2+2.3+6+3.9)*2+2.3+5.82+4.2*2+4*2</f>
        <v>51.32</v>
      </c>
      <c r="G1226" s="20"/>
      <c r="H1226" s="20"/>
      <c r="I1226" s="20">
        <v>2</v>
      </c>
      <c r="J1226" s="24"/>
      <c r="K1226" s="17"/>
      <c r="L1226" s="649">
        <f t="shared" si="74"/>
        <v>246.33599999999998</v>
      </c>
    </row>
    <row r="1227" spans="2:12" ht="15">
      <c r="B1227" s="650" t="s">
        <v>526</v>
      </c>
      <c r="C1227" s="20">
        <v>-20</v>
      </c>
      <c r="D1227" s="20"/>
      <c r="E1227" s="20"/>
      <c r="F1227" s="20"/>
      <c r="G1227" s="20"/>
      <c r="H1227" s="20"/>
      <c r="I1227" s="20"/>
      <c r="J1227" s="24"/>
      <c r="K1227" s="17"/>
      <c r="L1227" s="649">
        <f t="shared" si="74"/>
        <v>-20</v>
      </c>
    </row>
    <row r="1228" spans="2:12" ht="15">
      <c r="B1228" s="650"/>
      <c r="C1228" s="20"/>
      <c r="D1228" s="20"/>
      <c r="E1228" s="20"/>
      <c r="F1228" s="20"/>
      <c r="G1228" s="20"/>
      <c r="H1228" s="20"/>
      <c r="I1228" s="20"/>
      <c r="J1228" s="24"/>
      <c r="K1228" s="17"/>
      <c r="L1228" s="649"/>
    </row>
    <row r="1229" spans="2:12" ht="15.75">
      <c r="B1229" s="760" t="s">
        <v>594</v>
      </c>
      <c r="C1229" s="20"/>
      <c r="D1229" s="20"/>
      <c r="E1229" s="20"/>
      <c r="F1229" s="20"/>
      <c r="G1229" s="20"/>
      <c r="H1229" s="20"/>
      <c r="I1229" s="20"/>
      <c r="J1229" s="24"/>
      <c r="K1229" s="17"/>
      <c r="L1229" s="649"/>
    </row>
    <row r="1230" spans="2:12" ht="15">
      <c r="B1230" s="648" t="s">
        <v>808</v>
      </c>
      <c r="C1230" s="20"/>
      <c r="D1230" s="20"/>
      <c r="E1230" s="215">
        <v>3.2</v>
      </c>
      <c r="F1230" s="20">
        <v>19.3</v>
      </c>
      <c r="G1230" s="20"/>
      <c r="H1230" s="20"/>
      <c r="I1230" s="20"/>
      <c r="J1230" s="24">
        <v>2</v>
      </c>
      <c r="K1230" s="17"/>
      <c r="L1230" s="649">
        <f t="shared" si="74"/>
        <v>123.52000000000001</v>
      </c>
    </row>
    <row r="1231" spans="2:12" ht="15">
      <c r="B1231" s="648" t="s">
        <v>809</v>
      </c>
      <c r="C1231" s="20"/>
      <c r="D1231" s="20"/>
      <c r="E1231" s="215">
        <v>3.2</v>
      </c>
      <c r="F1231" s="20">
        <v>12</v>
      </c>
      <c r="G1231" s="20"/>
      <c r="H1231" s="20"/>
      <c r="I1231" s="20"/>
      <c r="J1231" s="24">
        <v>2</v>
      </c>
      <c r="K1231" s="17"/>
      <c r="L1231" s="649">
        <f t="shared" si="74"/>
        <v>76.800000000000011</v>
      </c>
    </row>
    <row r="1232" spans="2:12" ht="15">
      <c r="B1232" s="648" t="s">
        <v>810</v>
      </c>
      <c r="C1232" s="20"/>
      <c r="D1232" s="20"/>
      <c r="E1232" s="215">
        <v>3.2</v>
      </c>
      <c r="F1232" s="20">
        <v>4.3</v>
      </c>
      <c r="G1232" s="20"/>
      <c r="H1232" s="20"/>
      <c r="I1232" s="20">
        <v>2</v>
      </c>
      <c r="J1232" s="24">
        <v>2</v>
      </c>
      <c r="K1232" s="17"/>
      <c r="L1232" s="649">
        <f t="shared" si="74"/>
        <v>55.04</v>
      </c>
    </row>
    <row r="1233" spans="2:15" ht="15">
      <c r="B1233" s="648" t="s">
        <v>811</v>
      </c>
      <c r="C1233" s="20"/>
      <c r="D1233" s="20"/>
      <c r="E1233" s="215">
        <v>3.2</v>
      </c>
      <c r="F1233" s="20">
        <v>4.3</v>
      </c>
      <c r="G1233" s="20"/>
      <c r="H1233" s="20"/>
      <c r="I1233" s="20"/>
      <c r="J1233" s="24">
        <v>2</v>
      </c>
      <c r="K1233" s="17"/>
      <c r="L1233" s="649">
        <f t="shared" si="74"/>
        <v>27.52</v>
      </c>
    </row>
    <row r="1234" spans="2:15" ht="15">
      <c r="B1234" s="648" t="s">
        <v>812</v>
      </c>
      <c r="C1234" s="20"/>
      <c r="D1234" s="20"/>
      <c r="E1234" s="215">
        <v>3.2</v>
      </c>
      <c r="F1234" s="20">
        <v>0.6</v>
      </c>
      <c r="G1234" s="20"/>
      <c r="H1234" s="20"/>
      <c r="I1234" s="20"/>
      <c r="J1234" s="24">
        <v>2</v>
      </c>
      <c r="K1234" s="17"/>
      <c r="L1234" s="649">
        <f>PRODUCT(C1234:K1234)</f>
        <v>3.84</v>
      </c>
      <c r="N1234" s="58"/>
      <c r="O1234" s="375"/>
    </row>
    <row r="1235" spans="2:15" ht="15">
      <c r="B1235" s="650" t="s">
        <v>526</v>
      </c>
      <c r="C1235" s="20"/>
      <c r="D1235" s="20"/>
      <c r="E1235" s="20">
        <v>-2</v>
      </c>
      <c r="F1235" s="20"/>
      <c r="G1235" s="20"/>
      <c r="H1235" s="20"/>
      <c r="I1235" s="20"/>
      <c r="J1235" s="24">
        <v>2</v>
      </c>
      <c r="K1235" s="17"/>
      <c r="L1235" s="649">
        <f>PRODUCT(C1235:K1235)</f>
        <v>-4</v>
      </c>
    </row>
    <row r="1236" spans="2:15" ht="15">
      <c r="B1236" s="650"/>
      <c r="C1236" s="20"/>
      <c r="D1236" s="20"/>
      <c r="E1236" s="20"/>
      <c r="F1236" s="20"/>
      <c r="G1236" s="20"/>
      <c r="H1236" s="20"/>
      <c r="I1236" s="20"/>
      <c r="J1236" s="24"/>
      <c r="K1236" s="17"/>
      <c r="L1236" s="649"/>
    </row>
    <row r="1237" spans="2:15" ht="15.75">
      <c r="B1237" s="760" t="s">
        <v>438</v>
      </c>
      <c r="C1237" s="20"/>
      <c r="D1237" s="20"/>
      <c r="E1237" s="20"/>
      <c r="F1237" s="20"/>
      <c r="G1237" s="20"/>
      <c r="H1237" s="20"/>
      <c r="I1237" s="20"/>
      <c r="J1237" s="24"/>
      <c r="K1237" s="17"/>
      <c r="L1237" s="649"/>
      <c r="N1237" s="375"/>
    </row>
    <row r="1238" spans="2:15" ht="15">
      <c r="B1238" s="650" t="s">
        <v>524</v>
      </c>
      <c r="C1238" s="20"/>
      <c r="D1238" s="215">
        <v>3.15</v>
      </c>
      <c r="E1238" s="20"/>
      <c r="F1238" s="20">
        <v>18.25</v>
      </c>
      <c r="G1238" s="20"/>
      <c r="H1238" s="20"/>
      <c r="I1238" s="20"/>
      <c r="J1238" s="214">
        <v>2</v>
      </c>
      <c r="K1238" s="17"/>
      <c r="L1238" s="649">
        <f t="shared" si="74"/>
        <v>114.97499999999999</v>
      </c>
    </row>
    <row r="1239" spans="2:15" ht="15">
      <c r="B1239" s="650" t="s">
        <v>527</v>
      </c>
      <c r="C1239" s="20"/>
      <c r="D1239" s="215">
        <v>3.15</v>
      </c>
      <c r="E1239" s="20"/>
      <c r="F1239" s="20">
        <v>4.8</v>
      </c>
      <c r="G1239" s="20"/>
      <c r="H1239" s="20"/>
      <c r="I1239" s="20"/>
      <c r="J1239" s="214">
        <v>2</v>
      </c>
      <c r="K1239" s="17"/>
      <c r="L1239" s="649">
        <f t="shared" si="74"/>
        <v>30.24</v>
      </c>
    </row>
    <row r="1240" spans="2:15" ht="15">
      <c r="B1240" s="650" t="s">
        <v>526</v>
      </c>
      <c r="C1240" s="20"/>
      <c r="D1240" s="215">
        <v>-4</v>
      </c>
      <c r="E1240" s="20"/>
      <c r="F1240" s="20"/>
      <c r="G1240" s="20"/>
      <c r="H1240" s="20"/>
      <c r="I1240" s="20"/>
      <c r="J1240" s="214">
        <v>2</v>
      </c>
      <c r="K1240" s="17"/>
      <c r="L1240" s="649">
        <f t="shared" si="74"/>
        <v>-8</v>
      </c>
    </row>
    <row r="1241" spans="2:15" ht="15">
      <c r="B1241" s="650" t="s">
        <v>526</v>
      </c>
      <c r="C1241" s="20"/>
      <c r="D1241" s="171">
        <v>-1.3</v>
      </c>
      <c r="E1241" s="20">
        <v>2.4</v>
      </c>
      <c r="F1241" s="20"/>
      <c r="G1241" s="19"/>
      <c r="H1241" s="20"/>
      <c r="I1241" s="19">
        <v>2</v>
      </c>
      <c r="J1241" s="214">
        <v>2</v>
      </c>
      <c r="K1241" s="17"/>
      <c r="L1241" s="649">
        <f t="shared" si="74"/>
        <v>-12.48</v>
      </c>
    </row>
    <row r="1242" spans="2:15" ht="15">
      <c r="B1242" s="650"/>
      <c r="C1242" s="20"/>
      <c r="D1242" s="20"/>
      <c r="E1242" s="20"/>
      <c r="F1242" s="20"/>
      <c r="G1242" s="20"/>
      <c r="H1242" s="20"/>
      <c r="I1242" s="20"/>
      <c r="J1242" s="24"/>
      <c r="K1242" s="17"/>
      <c r="L1242" s="649"/>
    </row>
    <row r="1243" spans="2:15" ht="15">
      <c r="B1243" s="650"/>
      <c r="C1243" s="20"/>
      <c r="D1243" s="20"/>
      <c r="E1243" s="20"/>
      <c r="F1243" s="20"/>
      <c r="G1243" s="20"/>
      <c r="H1243" s="20"/>
      <c r="I1243" s="20"/>
      <c r="J1243" s="24"/>
      <c r="K1243" s="17"/>
      <c r="L1243" s="649"/>
    </row>
    <row r="1244" spans="2:15" ht="15">
      <c r="B1244" s="648" t="s">
        <v>528</v>
      </c>
      <c r="C1244" s="20"/>
      <c r="D1244" s="20"/>
      <c r="E1244" s="171">
        <v>3.2</v>
      </c>
      <c r="F1244" s="20">
        <v>14</v>
      </c>
      <c r="G1244" s="20"/>
      <c r="H1244" s="19"/>
      <c r="I1244" s="20"/>
      <c r="J1244" s="19">
        <v>2</v>
      </c>
      <c r="K1244" s="17"/>
      <c r="L1244" s="649">
        <f t="shared" ref="L1244:L1249" si="75">PRODUCT(C1244:K1244)</f>
        <v>89.600000000000009</v>
      </c>
    </row>
    <row r="1245" spans="2:15" ht="15">
      <c r="B1245" s="648" t="s">
        <v>529</v>
      </c>
      <c r="C1245" s="20"/>
      <c r="D1245" s="20"/>
      <c r="E1245" s="171">
        <v>3.2</v>
      </c>
      <c r="F1245" s="20">
        <v>14</v>
      </c>
      <c r="G1245" s="20"/>
      <c r="H1245" s="19"/>
      <c r="I1245" s="20"/>
      <c r="J1245" s="19"/>
      <c r="K1245" s="17"/>
      <c r="L1245" s="649">
        <f t="shared" si="75"/>
        <v>44.800000000000004</v>
      </c>
    </row>
    <row r="1246" spans="2:15" ht="15">
      <c r="B1246" s="648" t="s">
        <v>530</v>
      </c>
      <c r="C1246" s="20"/>
      <c r="D1246" s="20"/>
      <c r="E1246" s="171">
        <v>3.2</v>
      </c>
      <c r="F1246" s="20">
        <v>14</v>
      </c>
      <c r="G1246" s="20"/>
      <c r="H1246" s="19"/>
      <c r="I1246" s="20"/>
      <c r="J1246" s="19"/>
      <c r="K1246" s="17"/>
      <c r="L1246" s="649">
        <f t="shared" si="75"/>
        <v>44.800000000000004</v>
      </c>
    </row>
    <row r="1247" spans="2:15" ht="15">
      <c r="B1247" s="648"/>
      <c r="C1247" s="20"/>
      <c r="D1247" s="20"/>
      <c r="E1247" s="171"/>
      <c r="F1247" s="20"/>
      <c r="G1247" s="20"/>
      <c r="H1247" s="19"/>
      <c r="I1247" s="20"/>
      <c r="J1247" s="19"/>
      <c r="K1247" s="17"/>
      <c r="L1247" s="649"/>
    </row>
    <row r="1248" spans="2:15" ht="15">
      <c r="B1248" s="648" t="s">
        <v>526</v>
      </c>
      <c r="C1248" s="20">
        <v>-6</v>
      </c>
      <c r="D1248" s="20"/>
      <c r="E1248" s="19"/>
      <c r="F1248" s="20"/>
      <c r="G1248" s="20"/>
      <c r="H1248" s="19"/>
      <c r="I1248" s="20"/>
      <c r="J1248" s="19"/>
      <c r="K1248" s="17"/>
      <c r="L1248" s="649">
        <f t="shared" si="75"/>
        <v>-6</v>
      </c>
    </row>
    <row r="1249" spans="2:12" ht="15">
      <c r="B1249" s="650"/>
      <c r="C1249" s="20"/>
      <c r="D1249" s="20"/>
      <c r="E1249" s="20"/>
      <c r="F1249" s="20"/>
      <c r="G1249" s="20"/>
      <c r="H1249" s="20"/>
      <c r="I1249" s="20"/>
      <c r="J1249" s="24"/>
      <c r="K1249" s="17"/>
      <c r="L1249" s="649">
        <f t="shared" si="75"/>
        <v>0</v>
      </c>
    </row>
    <row r="1250" spans="2:12" ht="15">
      <c r="B1250" s="650" t="s">
        <v>934</v>
      </c>
      <c r="C1250" s="20"/>
      <c r="D1250" s="20"/>
      <c r="E1250" s="20">
        <v>2</v>
      </c>
      <c r="F1250" s="20">
        <v>11</v>
      </c>
      <c r="G1250" s="20"/>
      <c r="H1250" s="19"/>
      <c r="I1250" s="20"/>
      <c r="J1250" s="24"/>
      <c r="K1250" s="17"/>
      <c r="L1250" s="649">
        <f>PRODUCT(C1250:K1250)</f>
        <v>22</v>
      </c>
    </row>
    <row r="1251" spans="2:12" ht="15">
      <c r="B1251" s="650" t="s">
        <v>968</v>
      </c>
      <c r="C1251" s="20"/>
      <c r="D1251" s="20"/>
      <c r="E1251" s="20">
        <v>1</v>
      </c>
      <c r="F1251" s="20">
        <v>10</v>
      </c>
      <c r="G1251" s="20"/>
      <c r="H1251" s="19"/>
      <c r="I1251" s="20"/>
      <c r="J1251" s="24"/>
      <c r="K1251" s="17"/>
      <c r="L1251" s="645">
        <f>PRODUCT(C1251:K1251)</f>
        <v>10</v>
      </c>
    </row>
    <row r="1252" spans="2:12" ht="15">
      <c r="B1252" s="650"/>
      <c r="C1252" s="20"/>
      <c r="D1252" s="20"/>
      <c r="E1252" s="20"/>
      <c r="F1252" s="20"/>
      <c r="G1252" s="20"/>
      <c r="H1252" s="19"/>
      <c r="I1252" s="20"/>
      <c r="J1252" s="24"/>
      <c r="K1252" s="17"/>
      <c r="L1252" s="645"/>
    </row>
    <row r="1253" spans="2:12" ht="15">
      <c r="B1253" s="650" t="s">
        <v>1158</v>
      </c>
      <c r="C1253" s="20"/>
      <c r="D1253" s="20"/>
      <c r="E1253" s="20">
        <v>2</v>
      </c>
      <c r="F1253" s="20">
        <v>90</v>
      </c>
      <c r="G1253" s="20"/>
      <c r="H1253" s="19"/>
      <c r="I1253" s="20"/>
      <c r="J1253" s="24"/>
      <c r="K1253" s="17"/>
      <c r="L1253" s="645">
        <f t="shared" ref="L1253" si="76">PRODUCT(C1253:K1253)</f>
        <v>180</v>
      </c>
    </row>
    <row r="1254" spans="2:12" ht="15">
      <c r="B1254" s="650"/>
      <c r="C1254" s="20"/>
      <c r="D1254" s="20"/>
      <c r="E1254" s="20"/>
      <c r="F1254" s="20"/>
      <c r="G1254" s="20"/>
      <c r="H1254" s="19"/>
      <c r="I1254" s="20"/>
      <c r="J1254" s="24"/>
      <c r="K1254" s="17"/>
      <c r="L1254" s="645"/>
    </row>
    <row r="1255" spans="2:12" ht="15.75">
      <c r="B1255" s="1002" t="s">
        <v>414</v>
      </c>
      <c r="C1255" s="1003"/>
      <c r="D1255" s="1003"/>
      <c r="E1255" s="1003"/>
      <c r="F1255" s="1003"/>
      <c r="G1255" s="1003"/>
      <c r="H1255" s="1003"/>
      <c r="I1255" s="1003"/>
      <c r="J1255" s="1003"/>
      <c r="K1255" s="1003"/>
      <c r="L1255" s="1004"/>
    </row>
    <row r="1256" spans="2:12" ht="15.75">
      <c r="B1256" s="756"/>
      <c r="C1256" s="757"/>
      <c r="D1256" s="757"/>
      <c r="E1256" s="757"/>
      <c r="F1256" s="757"/>
      <c r="G1256" s="757"/>
      <c r="H1256" s="757"/>
      <c r="I1256" s="757"/>
      <c r="J1256" s="757"/>
      <c r="K1256" s="757"/>
      <c r="L1256" s="758"/>
    </row>
    <row r="1257" spans="2:12" ht="15.75">
      <c r="B1257" s="638" t="s">
        <v>398</v>
      </c>
      <c r="C1257" s="8">
        <v>5</v>
      </c>
      <c r="D1257" s="9" t="s">
        <v>1029</v>
      </c>
      <c r="E1257" s="9"/>
      <c r="F1257" s="9"/>
      <c r="G1257" s="9"/>
      <c r="H1257" s="9"/>
      <c r="I1257" s="9"/>
      <c r="J1257" s="9"/>
      <c r="K1257" s="10"/>
      <c r="L1257" s="639"/>
    </row>
    <row r="1258" spans="2:12" ht="15">
      <c r="B1258" s="1005"/>
      <c r="C1258" s="1006"/>
      <c r="D1258" s="1006"/>
      <c r="E1258" s="1006"/>
      <c r="F1258" s="1006"/>
      <c r="G1258" s="1006"/>
      <c r="H1258" s="1006"/>
      <c r="I1258" s="1006"/>
      <c r="J1258" s="1006"/>
      <c r="K1258" s="1006"/>
      <c r="L1258" s="1007"/>
    </row>
    <row r="1259" spans="2:12" ht="31.5">
      <c r="B1259" s="733" t="s">
        <v>399</v>
      </c>
      <c r="C1259" s="25">
        <f>+'PROPUESTA ECONOMICA(Proponente)'!C74</f>
        <v>5.3</v>
      </c>
      <c r="D1259" s="12" t="str">
        <f>+VLOOKUP('MEMORIAS DE CANTIDADES'!C1259,'PROPUESTA ECONOMICA(Proponente)'!$C$21:$H$310,5,FALSE)</f>
        <v>Pañete en  mortero 1:3 para muros y paredes (incluye suministro)</v>
      </c>
      <c r="E1259" s="13"/>
      <c r="F1259" s="12"/>
      <c r="G1259" s="12"/>
      <c r="H1259" s="12"/>
      <c r="I1259" s="11" t="s">
        <v>400</v>
      </c>
      <c r="J1259" s="12" t="str">
        <f>+VLOOKUP('MEMORIAS DE CANTIDADES'!C1259,'PROPUESTA ECONOMICA(Proponente)'!$C$21:$H$310,6,FALSE)</f>
        <v>m2</v>
      </c>
      <c r="K1259" s="11" t="s">
        <v>401</v>
      </c>
      <c r="L1259" s="643">
        <f>SUM(L1260:L1302)</f>
        <v>6067.0002000000004</v>
      </c>
    </row>
    <row r="1260" spans="2:12" ht="15">
      <c r="B1260" s="644"/>
      <c r="C1260" s="16"/>
      <c r="D1260" s="15"/>
      <c r="E1260" s="15"/>
      <c r="F1260" s="15"/>
      <c r="G1260" s="15"/>
      <c r="H1260" s="15"/>
      <c r="I1260" s="15"/>
      <c r="J1260" s="15"/>
      <c r="K1260" s="17"/>
      <c r="L1260" s="645"/>
    </row>
    <row r="1261" spans="2:12" ht="47.25">
      <c r="B1261" s="646" t="s">
        <v>402</v>
      </c>
      <c r="C1261" s="18" t="s">
        <v>403</v>
      </c>
      <c r="D1261" s="18" t="s">
        <v>404</v>
      </c>
      <c r="E1261" s="18" t="s">
        <v>405</v>
      </c>
      <c r="F1261" s="18" t="s">
        <v>406</v>
      </c>
      <c r="G1261" s="18" t="s">
        <v>407</v>
      </c>
      <c r="H1261" s="5" t="s">
        <v>408</v>
      </c>
      <c r="I1261" s="18" t="s">
        <v>409</v>
      </c>
      <c r="J1261" s="5" t="s">
        <v>410</v>
      </c>
      <c r="K1261" s="5" t="s">
        <v>411</v>
      </c>
      <c r="L1261" s="647" t="s">
        <v>412</v>
      </c>
    </row>
    <row r="1262" spans="2:12" ht="15.75">
      <c r="B1262" s="759" t="s">
        <v>734</v>
      </c>
      <c r="C1262" s="19"/>
      <c r="D1262" s="19"/>
      <c r="E1262" s="19"/>
      <c r="F1262" s="19"/>
      <c r="G1262" s="20"/>
      <c r="H1262" s="68"/>
      <c r="I1262" s="17"/>
      <c r="J1262" s="22"/>
      <c r="K1262" s="17"/>
      <c r="L1262" s="649"/>
    </row>
    <row r="1263" spans="2:12" ht="15">
      <c r="B1263" s="648" t="s">
        <v>808</v>
      </c>
      <c r="C1263" s="19"/>
      <c r="D1263" s="19"/>
      <c r="E1263" s="19">
        <v>2.4</v>
      </c>
      <c r="F1263" s="19">
        <v>45.4</v>
      </c>
      <c r="G1263" s="20"/>
      <c r="H1263" s="68"/>
      <c r="I1263" s="17">
        <v>2</v>
      </c>
      <c r="J1263" s="22">
        <v>2</v>
      </c>
      <c r="K1263" s="17"/>
      <c r="L1263" s="649">
        <f>PRODUCT(C1263:K1263)</f>
        <v>435.84</v>
      </c>
    </row>
    <row r="1264" spans="2:12" ht="15">
      <c r="B1264" s="648" t="s">
        <v>809</v>
      </c>
      <c r="C1264" s="19"/>
      <c r="D1264" s="19"/>
      <c r="E1264" s="19">
        <v>3.1</v>
      </c>
      <c r="F1264" s="19">
        <f>5.29+5.3+5.3+5.07+5+5+5</f>
        <v>35.96</v>
      </c>
      <c r="G1264" s="20"/>
      <c r="H1264" s="68"/>
      <c r="I1264" s="17">
        <v>2</v>
      </c>
      <c r="J1264" s="22">
        <v>2</v>
      </c>
      <c r="K1264" s="17"/>
      <c r="L1264" s="649">
        <f t="shared" ref="L1264:L1268" si="77">PRODUCT(C1264:K1264)</f>
        <v>445.904</v>
      </c>
    </row>
    <row r="1265" spans="2:12" ht="15">
      <c r="B1265" s="648" t="s">
        <v>810</v>
      </c>
      <c r="C1265" s="19"/>
      <c r="D1265" s="19">
        <f>1.62+11.4</f>
        <v>13.02</v>
      </c>
      <c r="E1265" s="19"/>
      <c r="F1265" s="19"/>
      <c r="G1265" s="20"/>
      <c r="H1265" s="68"/>
      <c r="I1265" s="17">
        <v>2</v>
      </c>
      <c r="J1265" s="22">
        <v>4</v>
      </c>
      <c r="K1265" s="17"/>
      <c r="L1265" s="649">
        <f t="shared" si="77"/>
        <v>104.16</v>
      </c>
    </row>
    <row r="1266" spans="2:12" ht="15">
      <c r="B1266" s="648" t="s">
        <v>811</v>
      </c>
      <c r="C1266" s="19"/>
      <c r="D1266" s="19">
        <f>1.62+11.4</f>
        <v>13.02</v>
      </c>
      <c r="E1266" s="19"/>
      <c r="F1266" s="19"/>
      <c r="G1266" s="20"/>
      <c r="H1266" s="68"/>
      <c r="I1266" s="17">
        <v>2</v>
      </c>
      <c r="J1266" s="22">
        <v>4</v>
      </c>
      <c r="K1266" s="17"/>
      <c r="L1266" s="649">
        <f t="shared" si="77"/>
        <v>104.16</v>
      </c>
    </row>
    <row r="1267" spans="2:12" ht="15">
      <c r="B1267" s="648" t="s">
        <v>812</v>
      </c>
      <c r="C1267" s="19"/>
      <c r="D1267" s="19"/>
      <c r="E1267" s="19">
        <v>2.4</v>
      </c>
      <c r="F1267" s="19">
        <f>4.1+0.8*5+1.8+2.3+6.12+4.1+1.32+2.4+4</f>
        <v>30.14</v>
      </c>
      <c r="G1267" s="20"/>
      <c r="H1267" s="68"/>
      <c r="I1267" s="17">
        <v>2</v>
      </c>
      <c r="J1267" s="22">
        <v>2</v>
      </c>
      <c r="K1267" s="17"/>
      <c r="L1267" s="649">
        <f t="shared" si="77"/>
        <v>289.34399999999999</v>
      </c>
    </row>
    <row r="1268" spans="2:12" ht="15">
      <c r="B1268" s="648" t="s">
        <v>526</v>
      </c>
      <c r="C1268" s="19"/>
      <c r="D1268" s="19">
        <f>-10*2</f>
        <v>-20</v>
      </c>
      <c r="E1268" s="19"/>
      <c r="F1268" s="19"/>
      <c r="G1268" s="20"/>
      <c r="H1268" s="68"/>
      <c r="I1268" s="17"/>
      <c r="J1268" s="22"/>
      <c r="K1268" s="17"/>
      <c r="L1268" s="649">
        <f t="shared" si="77"/>
        <v>-20</v>
      </c>
    </row>
    <row r="1269" spans="2:12" ht="15">
      <c r="B1269" s="648"/>
      <c r="C1269" s="19"/>
      <c r="D1269" s="19"/>
      <c r="E1269" s="19"/>
      <c r="F1269" s="19"/>
      <c r="G1269" s="20"/>
      <c r="H1269" s="68"/>
      <c r="I1269" s="17"/>
      <c r="J1269" s="22"/>
      <c r="K1269" s="17"/>
      <c r="L1269" s="649"/>
    </row>
    <row r="1270" spans="2:12" ht="15.75">
      <c r="B1270" s="759" t="s">
        <v>807</v>
      </c>
      <c r="C1270" s="20"/>
      <c r="D1270" s="19"/>
      <c r="E1270" s="19"/>
      <c r="F1270" s="19"/>
      <c r="G1270" s="20"/>
      <c r="H1270" s="68"/>
      <c r="I1270" s="17"/>
      <c r="J1270" s="24"/>
      <c r="K1270" s="17"/>
      <c r="L1270" s="649"/>
    </row>
    <row r="1271" spans="2:12" ht="15">
      <c r="B1271" s="648" t="s">
        <v>808</v>
      </c>
      <c r="C1271" s="19"/>
      <c r="D1271" s="19"/>
      <c r="E1271" s="19">
        <v>2.4</v>
      </c>
      <c r="F1271" s="19">
        <v>54</v>
      </c>
      <c r="G1271" s="20"/>
      <c r="H1271" s="20"/>
      <c r="I1271" s="20"/>
      <c r="J1271" s="24">
        <v>2</v>
      </c>
      <c r="K1271" s="17"/>
      <c r="L1271" s="649">
        <f t="shared" ref="L1271:L1276" si="78">PRODUCT(C1271:K1271)</f>
        <v>259.2</v>
      </c>
    </row>
    <row r="1272" spans="2:12" ht="15">
      <c r="B1272" s="648" t="s">
        <v>809</v>
      </c>
      <c r="C1272" s="19"/>
      <c r="D1272" s="19"/>
      <c r="E1272" s="19">
        <v>3.1</v>
      </c>
      <c r="F1272" s="19">
        <f>4.87+5+3.72+3.85+6.413+6.413+6.375+3.39+3.72+5+4.87+4</f>
        <v>57.621000000000002</v>
      </c>
      <c r="G1272" s="20"/>
      <c r="H1272" s="20"/>
      <c r="I1272" s="20"/>
      <c r="J1272" s="24">
        <v>2</v>
      </c>
      <c r="K1272" s="17"/>
      <c r="L1272" s="649">
        <f t="shared" si="78"/>
        <v>357.25020000000001</v>
      </c>
    </row>
    <row r="1273" spans="2:12" ht="15">
      <c r="B1273" s="648" t="s">
        <v>810</v>
      </c>
      <c r="C1273" s="19"/>
      <c r="D1273" s="19">
        <f>1.62+11.4</f>
        <v>13.02</v>
      </c>
      <c r="E1273" s="19"/>
      <c r="F1273" s="19"/>
      <c r="G1273" s="20"/>
      <c r="H1273" s="20"/>
      <c r="I1273" s="20">
        <v>2</v>
      </c>
      <c r="J1273" s="24">
        <v>2</v>
      </c>
      <c r="K1273" s="17"/>
      <c r="L1273" s="649">
        <f t="shared" si="78"/>
        <v>52.08</v>
      </c>
    </row>
    <row r="1274" spans="2:12" ht="15">
      <c r="B1274" s="648" t="s">
        <v>811</v>
      </c>
      <c r="C1274" s="19"/>
      <c r="D1274" s="19"/>
      <c r="E1274" s="19"/>
      <c r="F1274" s="19"/>
      <c r="G1274" s="20"/>
      <c r="H1274" s="20"/>
      <c r="I1274" s="20"/>
      <c r="J1274" s="24">
        <v>2</v>
      </c>
      <c r="K1274" s="17"/>
      <c r="L1274" s="649">
        <f t="shared" si="78"/>
        <v>2</v>
      </c>
    </row>
    <row r="1275" spans="2:12" ht="15">
      <c r="B1275" s="648" t="s">
        <v>812</v>
      </c>
      <c r="C1275" s="19"/>
      <c r="D1275" s="19"/>
      <c r="E1275" s="19">
        <v>2.4</v>
      </c>
      <c r="F1275" s="19">
        <f>+(0.6*2+2.3+6+3.9)*2+2.3+5.82+4.2*2+4*2</f>
        <v>51.32</v>
      </c>
      <c r="G1275" s="20"/>
      <c r="H1275" s="20"/>
      <c r="I1275" s="20">
        <v>2</v>
      </c>
      <c r="J1275" s="24">
        <v>2</v>
      </c>
      <c r="K1275" s="17"/>
      <c r="L1275" s="649">
        <f t="shared" si="78"/>
        <v>492.67199999999997</v>
      </c>
    </row>
    <row r="1276" spans="2:12" ht="15">
      <c r="B1276" s="650" t="s">
        <v>526</v>
      </c>
      <c r="C1276" s="20">
        <v>-20</v>
      </c>
      <c r="D1276" s="20"/>
      <c r="E1276" s="20"/>
      <c r="F1276" s="20"/>
      <c r="G1276" s="20"/>
      <c r="H1276" s="20"/>
      <c r="I1276" s="20"/>
      <c r="J1276" s="24"/>
      <c r="K1276" s="17"/>
      <c r="L1276" s="649">
        <f t="shared" si="78"/>
        <v>-20</v>
      </c>
    </row>
    <row r="1277" spans="2:12" ht="15">
      <c r="B1277" s="650"/>
      <c r="C1277" s="20"/>
      <c r="D1277" s="20"/>
      <c r="E1277" s="20"/>
      <c r="F1277" s="20"/>
      <c r="G1277" s="20"/>
      <c r="H1277" s="20"/>
      <c r="I1277" s="20"/>
      <c r="J1277" s="24"/>
      <c r="K1277" s="17"/>
      <c r="L1277" s="649"/>
    </row>
    <row r="1278" spans="2:12" ht="15.75">
      <c r="B1278" s="760" t="s">
        <v>594</v>
      </c>
      <c r="C1278" s="20"/>
      <c r="D1278" s="20"/>
      <c r="E1278" s="20"/>
      <c r="F1278" s="20"/>
      <c r="G1278" s="20"/>
      <c r="H1278" s="20"/>
      <c r="I1278" s="20"/>
      <c r="J1278" s="24"/>
      <c r="K1278" s="17"/>
      <c r="L1278" s="649"/>
    </row>
    <row r="1279" spans="2:12" ht="15">
      <c r="B1279" s="648" t="s">
        <v>808</v>
      </c>
      <c r="C1279" s="20"/>
      <c r="D1279" s="20"/>
      <c r="E1279" s="20">
        <v>3.2</v>
      </c>
      <c r="F1279" s="20">
        <v>19.3</v>
      </c>
      <c r="G1279" s="20"/>
      <c r="H1279" s="20"/>
      <c r="I1279" s="20"/>
      <c r="J1279" s="24">
        <v>4</v>
      </c>
      <c r="K1279" s="17"/>
      <c r="L1279" s="649">
        <f t="shared" ref="L1279:L1282" si="79">PRODUCT(C1279:K1279)</f>
        <v>247.04000000000002</v>
      </c>
    </row>
    <row r="1280" spans="2:12" ht="15">
      <c r="B1280" s="648" t="s">
        <v>809</v>
      </c>
      <c r="C1280" s="20"/>
      <c r="D1280" s="20"/>
      <c r="E1280" s="20">
        <v>3.2</v>
      </c>
      <c r="F1280" s="20">
        <v>12</v>
      </c>
      <c r="G1280" s="20"/>
      <c r="H1280" s="20"/>
      <c r="I1280" s="20"/>
      <c r="J1280" s="24">
        <v>4</v>
      </c>
      <c r="K1280" s="17"/>
      <c r="L1280" s="649">
        <f t="shared" si="79"/>
        <v>153.60000000000002</v>
      </c>
    </row>
    <row r="1281" spans="2:12" ht="15">
      <c r="B1281" s="648" t="s">
        <v>810</v>
      </c>
      <c r="C1281" s="20"/>
      <c r="D1281" s="20"/>
      <c r="E1281" s="20">
        <v>3.2</v>
      </c>
      <c r="F1281" s="20">
        <v>4.3</v>
      </c>
      <c r="G1281" s="20"/>
      <c r="H1281" s="20"/>
      <c r="I1281" s="20">
        <v>2</v>
      </c>
      <c r="J1281" s="24">
        <v>4</v>
      </c>
      <c r="K1281" s="17"/>
      <c r="L1281" s="649">
        <f t="shared" si="79"/>
        <v>110.08</v>
      </c>
    </row>
    <row r="1282" spans="2:12" ht="15">
      <c r="B1282" s="648" t="s">
        <v>811</v>
      </c>
      <c r="C1282" s="20"/>
      <c r="D1282" s="20"/>
      <c r="E1282" s="20">
        <v>3.2</v>
      </c>
      <c r="F1282" s="20">
        <v>4.3</v>
      </c>
      <c r="G1282" s="20"/>
      <c r="H1282" s="20"/>
      <c r="I1282" s="20"/>
      <c r="J1282" s="24">
        <v>4</v>
      </c>
      <c r="K1282" s="17"/>
      <c r="L1282" s="649">
        <f t="shared" si="79"/>
        <v>55.04</v>
      </c>
    </row>
    <row r="1283" spans="2:12" ht="15">
      <c r="B1283" s="648" t="s">
        <v>812</v>
      </c>
      <c r="C1283" s="20"/>
      <c r="D1283" s="20"/>
      <c r="E1283" s="20">
        <v>3.2</v>
      </c>
      <c r="F1283" s="20">
        <v>0.6</v>
      </c>
      <c r="G1283" s="20"/>
      <c r="H1283" s="20"/>
      <c r="I1283" s="20"/>
      <c r="J1283" s="24">
        <v>4</v>
      </c>
      <c r="K1283" s="17"/>
      <c r="L1283" s="649">
        <f>PRODUCT(C1283:K1283)</f>
        <v>7.68</v>
      </c>
    </row>
    <row r="1284" spans="2:12" ht="15">
      <c r="B1284" s="650" t="s">
        <v>526</v>
      </c>
      <c r="C1284" s="20"/>
      <c r="D1284" s="20"/>
      <c r="E1284" s="20">
        <v>-2</v>
      </c>
      <c r="F1284" s="20"/>
      <c r="G1284" s="20"/>
      <c r="H1284" s="20"/>
      <c r="I1284" s="20"/>
      <c r="J1284" s="24">
        <v>4</v>
      </c>
      <c r="K1284" s="17"/>
      <c r="L1284" s="649">
        <f>PRODUCT(C1284:K1284)</f>
        <v>-8</v>
      </c>
    </row>
    <row r="1285" spans="2:12" ht="15">
      <c r="B1285" s="650"/>
      <c r="C1285" s="20"/>
      <c r="D1285" s="20"/>
      <c r="E1285" s="20"/>
      <c r="F1285" s="20"/>
      <c r="G1285" s="20"/>
      <c r="H1285" s="20"/>
      <c r="I1285" s="20"/>
      <c r="J1285" s="24"/>
      <c r="K1285" s="17"/>
      <c r="L1285" s="649"/>
    </row>
    <row r="1286" spans="2:12" ht="15.75">
      <c r="B1286" s="760" t="s">
        <v>438</v>
      </c>
      <c r="C1286" s="20"/>
      <c r="D1286" s="20"/>
      <c r="E1286" s="20"/>
      <c r="F1286" s="20"/>
      <c r="G1286" s="20"/>
      <c r="H1286" s="20"/>
      <c r="I1286" s="20"/>
      <c r="J1286" s="24"/>
      <c r="K1286" s="17"/>
      <c r="L1286" s="649"/>
    </row>
    <row r="1287" spans="2:12" ht="15">
      <c r="B1287" s="650" t="s">
        <v>524</v>
      </c>
      <c r="C1287" s="20"/>
      <c r="D1287" s="20">
        <v>3.15</v>
      </c>
      <c r="E1287" s="20"/>
      <c r="F1287" s="20">
        <v>18.25</v>
      </c>
      <c r="G1287" s="20"/>
      <c r="H1287" s="20"/>
      <c r="I1287" s="20"/>
      <c r="J1287" s="24">
        <v>2</v>
      </c>
      <c r="K1287" s="28">
        <v>2</v>
      </c>
      <c r="L1287" s="649">
        <f t="shared" ref="L1287:L1290" si="80">PRODUCT(C1287:K1287)</f>
        <v>229.95</v>
      </c>
    </row>
    <row r="1288" spans="2:12" ht="15">
      <c r="B1288" s="650" t="s">
        <v>527</v>
      </c>
      <c r="C1288" s="20"/>
      <c r="D1288" s="20">
        <v>3.15</v>
      </c>
      <c r="E1288" s="20"/>
      <c r="F1288" s="20">
        <v>4.8</v>
      </c>
      <c r="G1288" s="20"/>
      <c r="H1288" s="20"/>
      <c r="I1288" s="20"/>
      <c r="J1288" s="24">
        <v>2</v>
      </c>
      <c r="K1288" s="28">
        <v>2</v>
      </c>
      <c r="L1288" s="649">
        <f t="shared" si="80"/>
        <v>60.48</v>
      </c>
    </row>
    <row r="1289" spans="2:12" ht="15">
      <c r="B1289" s="650" t="s">
        <v>526</v>
      </c>
      <c r="C1289" s="20"/>
      <c r="D1289" s="20">
        <v>-4</v>
      </c>
      <c r="E1289" s="20"/>
      <c r="F1289" s="20"/>
      <c r="G1289" s="20"/>
      <c r="H1289" s="20"/>
      <c r="I1289" s="20"/>
      <c r="J1289" s="24"/>
      <c r="K1289" s="28">
        <v>2</v>
      </c>
      <c r="L1289" s="649">
        <f t="shared" si="80"/>
        <v>-8</v>
      </c>
    </row>
    <row r="1290" spans="2:12" ht="15">
      <c r="B1290" s="650" t="s">
        <v>526</v>
      </c>
      <c r="C1290" s="20"/>
      <c r="D1290" s="19">
        <v>-1.3</v>
      </c>
      <c r="E1290" s="20">
        <v>2.4</v>
      </c>
      <c r="F1290" s="20"/>
      <c r="G1290" s="19"/>
      <c r="H1290" s="20"/>
      <c r="I1290" s="19">
        <v>2</v>
      </c>
      <c r="J1290" s="24"/>
      <c r="K1290" s="28">
        <v>2</v>
      </c>
      <c r="L1290" s="649">
        <f t="shared" si="80"/>
        <v>-12.48</v>
      </c>
    </row>
    <row r="1291" spans="2:12" ht="15">
      <c r="B1291" s="650"/>
      <c r="C1291" s="20"/>
      <c r="D1291" s="20"/>
      <c r="E1291" s="20"/>
      <c r="F1291" s="20"/>
      <c r="G1291" s="20"/>
      <c r="H1291" s="20"/>
      <c r="I1291" s="20"/>
      <c r="J1291" s="24"/>
      <c r="K1291" s="17"/>
      <c r="L1291" s="649"/>
    </row>
    <row r="1292" spans="2:12" ht="15">
      <c r="B1292" s="648" t="s">
        <v>528</v>
      </c>
      <c r="C1292" s="20"/>
      <c r="D1292" s="20"/>
      <c r="E1292" s="19">
        <v>3.2</v>
      </c>
      <c r="F1292" s="20">
        <v>14</v>
      </c>
      <c r="G1292" s="20"/>
      <c r="H1292" s="19"/>
      <c r="I1292" s="20"/>
      <c r="J1292" s="19">
        <v>23</v>
      </c>
      <c r="K1292" s="28">
        <v>2</v>
      </c>
      <c r="L1292" s="649">
        <f>PRODUCT(C1292:K1292)</f>
        <v>2060.8000000000002</v>
      </c>
    </row>
    <row r="1293" spans="2:12" ht="15">
      <c r="B1293" s="648" t="s">
        <v>529</v>
      </c>
      <c r="C1293" s="20"/>
      <c r="D1293" s="20"/>
      <c r="E1293" s="19">
        <v>3.2</v>
      </c>
      <c r="F1293" s="20">
        <v>14</v>
      </c>
      <c r="G1293" s="20"/>
      <c r="H1293" s="19"/>
      <c r="I1293" s="20"/>
      <c r="J1293" s="19"/>
      <c r="K1293" s="28">
        <v>2</v>
      </c>
      <c r="L1293" s="649">
        <f>PRODUCT(C1293:K1293)</f>
        <v>89.600000000000009</v>
      </c>
    </row>
    <row r="1294" spans="2:12" ht="15">
      <c r="B1294" s="648" t="s">
        <v>530</v>
      </c>
      <c r="C1294" s="20"/>
      <c r="D1294" s="20"/>
      <c r="E1294" s="19">
        <v>3.2</v>
      </c>
      <c r="F1294" s="20">
        <v>14</v>
      </c>
      <c r="G1294" s="20"/>
      <c r="H1294" s="19"/>
      <c r="I1294" s="20"/>
      <c r="J1294" s="19"/>
      <c r="K1294" s="28">
        <v>2</v>
      </c>
      <c r="L1294" s="649">
        <f t="shared" ref="L1294:L1296" si="81">PRODUCT(C1294:K1294)</f>
        <v>89.600000000000009</v>
      </c>
    </row>
    <row r="1295" spans="2:12" ht="15">
      <c r="B1295" s="648"/>
      <c r="C1295" s="20"/>
      <c r="D1295" s="20"/>
      <c r="E1295" s="19"/>
      <c r="F1295" s="20"/>
      <c r="G1295" s="20"/>
      <c r="H1295" s="19"/>
      <c r="I1295" s="20"/>
      <c r="J1295" s="19"/>
      <c r="K1295" s="28"/>
      <c r="L1295" s="649"/>
    </row>
    <row r="1296" spans="2:12" ht="15">
      <c r="B1296" s="648" t="s">
        <v>526</v>
      </c>
      <c r="C1296" s="20">
        <v>-6</v>
      </c>
      <c r="D1296" s="20"/>
      <c r="E1296" s="19"/>
      <c r="F1296" s="20"/>
      <c r="G1296" s="20"/>
      <c r="H1296" s="19"/>
      <c r="I1296" s="20"/>
      <c r="J1296" s="19"/>
      <c r="K1296" s="28">
        <v>2</v>
      </c>
      <c r="L1296" s="649">
        <f t="shared" si="81"/>
        <v>-12</v>
      </c>
    </row>
    <row r="1297" spans="2:12" ht="15">
      <c r="B1297" s="648"/>
      <c r="C1297" s="20"/>
      <c r="D1297" s="20"/>
      <c r="E1297" s="19"/>
      <c r="F1297" s="20"/>
      <c r="G1297" s="20"/>
      <c r="H1297" s="19"/>
      <c r="I1297" s="20"/>
      <c r="J1297" s="19"/>
      <c r="K1297" s="28"/>
      <c r="L1297" s="649"/>
    </row>
    <row r="1298" spans="2:12" ht="15.75">
      <c r="B1298" s="759" t="s">
        <v>934</v>
      </c>
      <c r="C1298" s="269"/>
      <c r="D1298" s="269"/>
      <c r="E1298" s="269"/>
      <c r="F1298" s="269"/>
      <c r="G1298" s="270"/>
      <c r="H1298" s="346"/>
      <c r="I1298" s="17"/>
      <c r="J1298" s="22"/>
      <c r="K1298" s="17"/>
      <c r="L1298" s="656"/>
    </row>
    <row r="1299" spans="2:12" ht="15">
      <c r="B1299" s="648" t="s">
        <v>969</v>
      </c>
      <c r="C1299" s="269"/>
      <c r="D1299" s="269"/>
      <c r="E1299" s="269">
        <v>1.3</v>
      </c>
      <c r="F1299" s="269">
        <v>70</v>
      </c>
      <c r="G1299" s="270"/>
      <c r="H1299" s="346"/>
      <c r="I1299" s="17"/>
      <c r="J1299" s="22"/>
      <c r="K1299" s="17"/>
      <c r="L1299" s="656">
        <f>PRODUCT(C1299:K1299)</f>
        <v>91</v>
      </c>
    </row>
    <row r="1300" spans="2:12" ht="15">
      <c r="B1300" s="648"/>
      <c r="C1300" s="20"/>
      <c r="D1300" s="20"/>
      <c r="E1300" s="19">
        <v>1</v>
      </c>
      <c r="F1300" s="20">
        <v>50</v>
      </c>
      <c r="G1300" s="20"/>
      <c r="H1300" s="19"/>
      <c r="I1300" s="20"/>
      <c r="J1300" s="19"/>
      <c r="K1300" s="28"/>
      <c r="L1300" s="656">
        <f>PRODUCT(C1300:K1300)</f>
        <v>50</v>
      </c>
    </row>
    <row r="1301" spans="2:12" ht="15">
      <c r="B1301" s="650" t="s">
        <v>1158</v>
      </c>
      <c r="C1301" s="20"/>
      <c r="D1301" s="20"/>
      <c r="E1301" s="20">
        <v>2</v>
      </c>
      <c r="F1301" s="20">
        <v>90</v>
      </c>
      <c r="G1301" s="20"/>
      <c r="H1301" s="19"/>
      <c r="I1301" s="20"/>
      <c r="J1301" s="24"/>
      <c r="K1301" s="17">
        <v>2</v>
      </c>
      <c r="L1301" s="645">
        <f t="shared" ref="L1301" si="82">PRODUCT(C1301:K1301)</f>
        <v>360</v>
      </c>
    </row>
    <row r="1302" spans="2:12" ht="15.75">
      <c r="B1302" s="1002" t="s">
        <v>414</v>
      </c>
      <c r="C1302" s="1003"/>
      <c r="D1302" s="1003"/>
      <c r="E1302" s="1003"/>
      <c r="F1302" s="1003"/>
      <c r="G1302" s="1003"/>
      <c r="H1302" s="1003"/>
      <c r="I1302" s="1003"/>
      <c r="J1302" s="1003"/>
      <c r="K1302" s="1003"/>
      <c r="L1302" s="1004"/>
    </row>
    <row r="1303" spans="2:12" ht="15.75">
      <c r="B1303" s="756"/>
      <c r="C1303" s="757"/>
      <c r="D1303" s="757"/>
      <c r="E1303" s="757"/>
      <c r="F1303" s="757"/>
      <c r="G1303" s="757"/>
      <c r="H1303" s="757"/>
      <c r="I1303" s="757"/>
      <c r="J1303" s="757"/>
      <c r="K1303" s="757"/>
      <c r="L1303" s="758"/>
    </row>
    <row r="1304" spans="2:12" ht="15.75">
      <c r="B1304" s="638" t="s">
        <v>398</v>
      </c>
      <c r="C1304" s="8">
        <v>5</v>
      </c>
      <c r="D1304" s="9" t="s">
        <v>1029</v>
      </c>
      <c r="E1304" s="9"/>
      <c r="F1304" s="9"/>
      <c r="G1304" s="9"/>
      <c r="H1304" s="9"/>
      <c r="I1304" s="9"/>
      <c r="J1304" s="9"/>
      <c r="K1304" s="10"/>
      <c r="L1304" s="639"/>
    </row>
    <row r="1305" spans="2:12" ht="15">
      <c r="B1305" s="1005"/>
      <c r="C1305" s="1006"/>
      <c r="D1305" s="1006"/>
      <c r="E1305" s="1006"/>
      <c r="F1305" s="1006"/>
      <c r="G1305" s="1006"/>
      <c r="H1305" s="1006"/>
      <c r="I1305" s="1006"/>
      <c r="J1305" s="1006"/>
      <c r="K1305" s="1006"/>
      <c r="L1305" s="1007"/>
    </row>
    <row r="1306" spans="2:12" ht="47.25">
      <c r="B1306" s="733" t="s">
        <v>399</v>
      </c>
      <c r="C1306" s="25">
        <f>+'PROPUESTA ECONOMICA(Proponente)'!C75</f>
        <v>5.4</v>
      </c>
      <c r="D1306" s="12" t="str">
        <f>+VLOOKUP('MEMORIAS DE CANTIDADES'!C1306,'PROPUESTA ECONOMICA(Proponente)'!$C$21:$H$310,5,FALSE)</f>
        <v>Dintel en concreto de 3000psi. (incluye suministro, instalación de concreto y formaletaria)</v>
      </c>
      <c r="E1306" s="13"/>
      <c r="F1306" s="12"/>
      <c r="G1306" s="12"/>
      <c r="H1306" s="12"/>
      <c r="I1306" s="11" t="s">
        <v>400</v>
      </c>
      <c r="J1306" s="12" t="str">
        <f>+VLOOKUP('MEMORIAS DE CANTIDADES'!C1306,'PROPUESTA ECONOMICA(Proponente)'!$C$21:$H$310,6,FALSE)</f>
        <v>ml</v>
      </c>
      <c r="K1306" s="11" t="s">
        <v>401</v>
      </c>
      <c r="L1306" s="643">
        <f>SUM(L1307:L1315)</f>
        <v>196.37599999999998</v>
      </c>
    </row>
    <row r="1307" spans="2:12" ht="15">
      <c r="B1307" s="644"/>
      <c r="C1307" s="16"/>
      <c r="D1307" s="15"/>
      <c r="E1307" s="15"/>
      <c r="F1307" s="15"/>
      <c r="G1307" s="15"/>
      <c r="H1307" s="15"/>
      <c r="I1307" s="15"/>
      <c r="J1307" s="15"/>
      <c r="K1307" s="17"/>
      <c r="L1307" s="645"/>
    </row>
    <row r="1308" spans="2:12" ht="47.25">
      <c r="B1308" s="646" t="s">
        <v>402</v>
      </c>
      <c r="C1308" s="18" t="s">
        <v>403</v>
      </c>
      <c r="D1308" s="18" t="s">
        <v>404</v>
      </c>
      <c r="E1308" s="18" t="s">
        <v>405</v>
      </c>
      <c r="F1308" s="18" t="s">
        <v>406</v>
      </c>
      <c r="G1308" s="18" t="s">
        <v>407</v>
      </c>
      <c r="H1308" s="5" t="s">
        <v>408</v>
      </c>
      <c r="I1308" s="18" t="s">
        <v>409</v>
      </c>
      <c r="J1308" s="5" t="s">
        <v>410</v>
      </c>
      <c r="K1308" s="5" t="s">
        <v>411</v>
      </c>
      <c r="L1308" s="647" t="s">
        <v>412</v>
      </c>
    </row>
    <row r="1309" spans="2:12" ht="15">
      <c r="B1309" s="648"/>
      <c r="C1309" s="19"/>
      <c r="D1309" s="19"/>
      <c r="E1309" s="19"/>
      <c r="F1309" s="19"/>
      <c r="G1309" s="20"/>
      <c r="H1309" s="68"/>
      <c r="I1309" s="17"/>
      <c r="J1309" s="22"/>
      <c r="K1309" s="17"/>
      <c r="L1309" s="649">
        <f>PRODUCT(C1309:K1309)</f>
        <v>0</v>
      </c>
    </row>
    <row r="1310" spans="2:12" ht="15">
      <c r="B1310" s="648" t="s">
        <v>531</v>
      </c>
      <c r="C1310" s="19"/>
      <c r="D1310" s="19"/>
      <c r="E1310" s="19"/>
      <c r="F1310" s="19">
        <v>1.4</v>
      </c>
      <c r="G1310" s="20"/>
      <c r="H1310" s="68"/>
      <c r="I1310" s="17">
        <f>37+6</f>
        <v>43</v>
      </c>
      <c r="J1310" s="22"/>
      <c r="K1310" s="17"/>
      <c r="L1310" s="649">
        <f>PRODUCT(C1310:K1310)</f>
        <v>60.199999999999996</v>
      </c>
    </row>
    <row r="1311" spans="2:12" ht="15">
      <c r="B1311" s="648" t="s">
        <v>813</v>
      </c>
      <c r="C1311" s="20"/>
      <c r="D1311" s="19"/>
      <c r="E1311" s="19"/>
      <c r="F1311" s="19">
        <f>1.55+2.32+2.32+2+1.2+21+2+2+1.2+1.55+2.32+2.32+1.4+1.4+2+2+2+2+2+2+2+2+2+2+2+2+2+2+2+2+2+2+2+4+2.2+1.55*6+1.55*6+2.32+2.23+1.55</f>
        <v>113.47999999999999</v>
      </c>
      <c r="G1311" s="20"/>
      <c r="H1311" s="68"/>
      <c r="I1311" s="17">
        <v>1.2</v>
      </c>
      <c r="J1311" s="24"/>
      <c r="K1311" s="17"/>
      <c r="L1311" s="649">
        <f>PRODUCT(C1311:K1311)</f>
        <v>136.17599999999999</v>
      </c>
    </row>
    <row r="1312" spans="2:12" ht="15">
      <c r="B1312" s="648"/>
      <c r="C1312" s="20"/>
      <c r="D1312" s="20"/>
      <c r="E1312" s="20"/>
      <c r="F1312" s="20"/>
      <c r="G1312" s="20"/>
      <c r="H1312" s="20"/>
      <c r="I1312" s="20"/>
      <c r="J1312" s="24"/>
      <c r="K1312" s="17"/>
      <c r="L1312" s="649">
        <f t="shared" ref="L1312:L1313" si="83">PRODUCT(C1312:K1312)</f>
        <v>0</v>
      </c>
    </row>
    <row r="1313" spans="2:12" ht="15">
      <c r="B1313" s="650"/>
      <c r="C1313" s="20"/>
      <c r="D1313" s="20"/>
      <c r="E1313" s="20"/>
      <c r="F1313" s="20"/>
      <c r="G1313" s="20"/>
      <c r="H1313" s="19"/>
      <c r="I1313" s="20"/>
      <c r="J1313" s="24"/>
      <c r="K1313" s="17"/>
      <c r="L1313" s="649">
        <f t="shared" si="83"/>
        <v>0</v>
      </c>
    </row>
    <row r="1314" spans="2:12" ht="15">
      <c r="B1314" s="650"/>
      <c r="C1314" s="20"/>
      <c r="D1314" s="20"/>
      <c r="E1314" s="20"/>
      <c r="F1314" s="20"/>
      <c r="G1314" s="20"/>
      <c r="H1314" s="19"/>
      <c r="I1314" s="20"/>
      <c r="J1314" s="24"/>
      <c r="K1314" s="17"/>
      <c r="L1314" s="645"/>
    </row>
    <row r="1315" spans="2:12" ht="15.75">
      <c r="B1315" s="1002" t="s">
        <v>414</v>
      </c>
      <c r="C1315" s="1003"/>
      <c r="D1315" s="1003"/>
      <c r="E1315" s="1003"/>
      <c r="F1315" s="1003"/>
      <c r="G1315" s="1003"/>
      <c r="H1315" s="1003"/>
      <c r="I1315" s="1003"/>
      <c r="J1315" s="1003"/>
      <c r="K1315" s="1003"/>
      <c r="L1315" s="1004"/>
    </row>
    <row r="1316" spans="2:12" ht="15.75">
      <c r="B1316" s="756"/>
      <c r="C1316" s="757"/>
      <c r="D1316" s="757"/>
      <c r="E1316" s="757"/>
      <c r="F1316" s="757"/>
      <c r="G1316" s="757"/>
      <c r="H1316" s="757"/>
      <c r="I1316" s="757"/>
      <c r="J1316" s="757"/>
      <c r="K1316" s="757"/>
      <c r="L1316" s="758"/>
    </row>
    <row r="1317" spans="2:12" ht="15.75">
      <c r="B1317" s="638" t="s">
        <v>398</v>
      </c>
      <c r="C1317" s="8">
        <v>5</v>
      </c>
      <c r="D1317" s="9" t="s">
        <v>1029</v>
      </c>
      <c r="E1317" s="9"/>
      <c r="F1317" s="9"/>
      <c r="G1317" s="9"/>
      <c r="H1317" s="9"/>
      <c r="I1317" s="9"/>
      <c r="J1317" s="9"/>
      <c r="K1317" s="10"/>
      <c r="L1317" s="639"/>
    </row>
    <row r="1318" spans="2:12" ht="15">
      <c r="B1318" s="1005"/>
      <c r="C1318" s="1006"/>
      <c r="D1318" s="1006"/>
      <c r="E1318" s="1006"/>
      <c r="F1318" s="1006"/>
      <c r="G1318" s="1006"/>
      <c r="H1318" s="1006"/>
      <c r="I1318" s="1006"/>
      <c r="J1318" s="1006"/>
      <c r="K1318" s="1006"/>
      <c r="L1318" s="1007"/>
    </row>
    <row r="1319" spans="2:12" ht="47.25">
      <c r="B1319" s="642" t="s">
        <v>399</v>
      </c>
      <c r="C1319" s="25">
        <f>+'PROPUESTA ECONOMICA(Proponente)'!C76</f>
        <v>5.5</v>
      </c>
      <c r="D1319" s="12" t="str">
        <f>+VLOOKUP('MEMORIAS DE CANTIDADES'!C1319,'PROPUESTA ECONOMICA(Proponente)'!$C$21:$H$310,5,FALSE)</f>
        <v>CONCRETO VIGA ANILLO: Concreto para viga anillo de 3500 PSI (incluye suministro, instalación de concreto y formaletaria).</v>
      </c>
      <c r="E1319" s="13"/>
      <c r="F1319" s="12"/>
      <c r="G1319" s="12"/>
      <c r="H1319" s="12"/>
      <c r="I1319" s="11" t="s">
        <v>400</v>
      </c>
      <c r="J1319" s="12" t="str">
        <f>+VLOOKUP('MEMORIAS DE CANTIDADES'!C1319,'PROPUESTA ECONOMICA(Proponente)'!$C$21:$H$310,6,FALSE)</f>
        <v>m3</v>
      </c>
      <c r="K1319" s="11" t="s">
        <v>401</v>
      </c>
      <c r="L1319" s="643">
        <f>SUM(L1320:L1355)</f>
        <v>220.52459999999999</v>
      </c>
    </row>
    <row r="1320" spans="2:12" ht="15">
      <c r="B1320" s="644"/>
      <c r="C1320" s="16"/>
      <c r="D1320" s="15"/>
      <c r="E1320" s="15"/>
      <c r="F1320" s="15"/>
      <c r="G1320" s="15"/>
      <c r="H1320" s="15"/>
      <c r="I1320" s="15"/>
      <c r="J1320" s="15"/>
      <c r="K1320" s="17"/>
      <c r="L1320" s="645"/>
    </row>
    <row r="1321" spans="2:12" ht="47.25">
      <c r="B1321" s="646" t="s">
        <v>402</v>
      </c>
      <c r="C1321" s="18" t="s">
        <v>403</v>
      </c>
      <c r="D1321" s="18" t="s">
        <v>404</v>
      </c>
      <c r="E1321" s="18" t="s">
        <v>405</v>
      </c>
      <c r="F1321" s="18" t="s">
        <v>406</v>
      </c>
      <c r="G1321" s="18" t="s">
        <v>407</v>
      </c>
      <c r="H1321" s="5" t="s">
        <v>408</v>
      </c>
      <c r="I1321" s="18" t="s">
        <v>409</v>
      </c>
      <c r="J1321" s="5" t="s">
        <v>410</v>
      </c>
      <c r="K1321" s="5" t="s">
        <v>411</v>
      </c>
      <c r="L1321" s="647" t="s">
        <v>412</v>
      </c>
    </row>
    <row r="1322" spans="2:12" ht="15.75">
      <c r="B1322" s="759" t="s">
        <v>734</v>
      </c>
      <c r="C1322" s="19"/>
      <c r="D1322" s="19"/>
      <c r="E1322" s="19"/>
      <c r="F1322" s="19"/>
      <c r="G1322" s="20"/>
      <c r="H1322" s="68"/>
      <c r="I1322" s="17"/>
      <c r="J1322" s="22"/>
      <c r="K1322" s="17"/>
      <c r="L1322" s="649"/>
    </row>
    <row r="1323" spans="2:12" ht="15">
      <c r="B1323" s="648" t="s">
        <v>808</v>
      </c>
      <c r="C1323" s="19"/>
      <c r="D1323" s="19">
        <v>0.12</v>
      </c>
      <c r="E1323" s="19">
        <v>0.2</v>
      </c>
      <c r="F1323" s="19">
        <v>45.4</v>
      </c>
      <c r="G1323" s="20"/>
      <c r="H1323" s="68"/>
      <c r="I1323" s="17">
        <v>2</v>
      </c>
      <c r="J1323" s="22"/>
      <c r="K1323" s="17"/>
      <c r="L1323" s="649">
        <f>PRODUCT(C1323:K1323)</f>
        <v>2.1791999999999998</v>
      </c>
    </row>
    <row r="1324" spans="2:12" ht="15">
      <c r="B1324" s="648" t="s">
        <v>809</v>
      </c>
      <c r="C1324" s="19"/>
      <c r="D1324" s="19">
        <v>0.12</v>
      </c>
      <c r="E1324" s="19">
        <v>0.2</v>
      </c>
      <c r="F1324" s="19">
        <f>5.29+5.3+5.3+5.07+5+5+5</f>
        <v>35.96</v>
      </c>
      <c r="G1324" s="20"/>
      <c r="H1324" s="68"/>
      <c r="I1324" s="17">
        <v>2</v>
      </c>
      <c r="J1324" s="22"/>
      <c r="K1324" s="17"/>
      <c r="L1324" s="649">
        <f t="shared" ref="L1324:L1327" si="84">PRODUCT(C1324:K1324)</f>
        <v>1.7260800000000001</v>
      </c>
    </row>
    <row r="1325" spans="2:12" ht="15">
      <c r="B1325" s="648" t="s">
        <v>810</v>
      </c>
      <c r="C1325" s="19"/>
      <c r="D1325" s="39"/>
      <c r="E1325" s="19"/>
      <c r="F1325" s="19"/>
      <c r="G1325" s="20"/>
      <c r="H1325" s="68"/>
      <c r="I1325" s="17"/>
      <c r="J1325" s="22"/>
      <c r="K1325" s="17"/>
      <c r="L1325" s="649">
        <f>PRODUCT(C1325:K1325)</f>
        <v>0</v>
      </c>
    </row>
    <row r="1326" spans="2:12" ht="15">
      <c r="B1326" s="648" t="s">
        <v>811</v>
      </c>
      <c r="C1326" s="19"/>
      <c r="D1326" s="39"/>
      <c r="E1326" s="19"/>
      <c r="F1326" s="19"/>
      <c r="G1326" s="20"/>
      <c r="H1326" s="68"/>
      <c r="I1326" s="17"/>
      <c r="J1326" s="22"/>
      <c r="K1326" s="17"/>
      <c r="L1326" s="649">
        <f>PRODUCT(C1326:K1326)</f>
        <v>0</v>
      </c>
    </row>
    <row r="1327" spans="2:12" ht="15">
      <c r="B1327" s="648" t="s">
        <v>812</v>
      </c>
      <c r="C1327" s="19"/>
      <c r="D1327" s="19">
        <v>0.12</v>
      </c>
      <c r="E1327" s="19">
        <v>0.2</v>
      </c>
      <c r="F1327" s="19">
        <f>4.1+0.8*5+1.8+2.3+6.12+4.1+1.32+2.4+4</f>
        <v>30.14</v>
      </c>
      <c r="G1327" s="20"/>
      <c r="H1327" s="68"/>
      <c r="I1327" s="17">
        <v>2</v>
      </c>
      <c r="J1327" s="22"/>
      <c r="K1327" s="17"/>
      <c r="L1327" s="649">
        <f t="shared" si="84"/>
        <v>1.44672</v>
      </c>
    </row>
    <row r="1328" spans="2:12" ht="15">
      <c r="B1328" s="648"/>
      <c r="C1328" s="19"/>
      <c r="D1328" s="19"/>
      <c r="E1328" s="19"/>
      <c r="F1328" s="19"/>
      <c r="G1328" s="20"/>
      <c r="H1328" s="68"/>
      <c r="I1328" s="17"/>
      <c r="J1328" s="22"/>
      <c r="K1328" s="17"/>
      <c r="L1328" s="649"/>
    </row>
    <row r="1329" spans="2:12" ht="15.75">
      <c r="B1329" s="759" t="s">
        <v>807</v>
      </c>
      <c r="C1329" s="20"/>
      <c r="D1329" s="19"/>
      <c r="E1329" s="19"/>
      <c r="F1329" s="19"/>
      <c r="G1329" s="20"/>
      <c r="H1329" s="68"/>
      <c r="I1329" s="17"/>
      <c r="J1329" s="24"/>
      <c r="K1329" s="17"/>
      <c r="L1329" s="649"/>
    </row>
    <row r="1330" spans="2:12" ht="15">
      <c r="B1330" s="648" t="s">
        <v>808</v>
      </c>
      <c r="C1330" s="19"/>
      <c r="D1330" s="19">
        <v>0.12</v>
      </c>
      <c r="E1330" s="19">
        <v>0.2</v>
      </c>
      <c r="F1330" s="19">
        <v>54</v>
      </c>
      <c r="G1330" s="20"/>
      <c r="H1330" s="20"/>
      <c r="I1330" s="20"/>
      <c r="J1330" s="24"/>
      <c r="K1330" s="17"/>
      <c r="L1330" s="649">
        <f t="shared" ref="L1330:L1334" si="85">PRODUCT(C1330:K1330)</f>
        <v>1.296</v>
      </c>
    </row>
    <row r="1331" spans="2:12" ht="15">
      <c r="B1331" s="648" t="s">
        <v>809</v>
      </c>
      <c r="C1331" s="19"/>
      <c r="D1331" s="19">
        <v>0.12</v>
      </c>
      <c r="E1331" s="19">
        <v>0.2</v>
      </c>
      <c r="F1331" s="19">
        <f>4.87+5+3.72+3.85+6.413+6.413+6.375+3.39+3.72+5+4.87+4</f>
        <v>57.621000000000002</v>
      </c>
      <c r="G1331" s="20"/>
      <c r="H1331" s="20"/>
      <c r="I1331" s="20"/>
      <c r="J1331" s="24"/>
      <c r="K1331" s="17"/>
      <c r="L1331" s="649">
        <f t="shared" si="85"/>
        <v>1.3829040000000001</v>
      </c>
    </row>
    <row r="1332" spans="2:12" ht="15">
      <c r="B1332" s="648" t="s">
        <v>810</v>
      </c>
      <c r="C1332" s="19"/>
      <c r="D1332" s="19"/>
      <c r="E1332" s="19"/>
      <c r="F1332" s="19"/>
      <c r="G1332" s="20"/>
      <c r="H1332" s="20"/>
      <c r="I1332" s="20"/>
      <c r="J1332" s="24"/>
      <c r="K1332" s="17"/>
      <c r="L1332" s="649">
        <f t="shared" si="85"/>
        <v>0</v>
      </c>
    </row>
    <row r="1333" spans="2:12" ht="15">
      <c r="B1333" s="648" t="s">
        <v>811</v>
      </c>
      <c r="C1333" s="19"/>
      <c r="D1333" s="19"/>
      <c r="E1333" s="19"/>
      <c r="F1333" s="19"/>
      <c r="G1333" s="20"/>
      <c r="H1333" s="20"/>
      <c r="I1333" s="20"/>
      <c r="J1333" s="24"/>
      <c r="K1333" s="17"/>
      <c r="L1333" s="649">
        <f t="shared" si="85"/>
        <v>0</v>
      </c>
    </row>
    <row r="1334" spans="2:12" ht="15">
      <c r="B1334" s="648" t="s">
        <v>812</v>
      </c>
      <c r="C1334" s="19"/>
      <c r="D1334" s="19">
        <v>0.12</v>
      </c>
      <c r="E1334" s="19">
        <v>2.4</v>
      </c>
      <c r="F1334" s="19">
        <f>+(0.6*2+2.3+6+3.9)*2+2.3+5.82+4.2*2+4*2</f>
        <v>51.32</v>
      </c>
      <c r="G1334" s="20"/>
      <c r="H1334" s="20"/>
      <c r="I1334" s="20">
        <v>2</v>
      </c>
      <c r="J1334" s="24"/>
      <c r="K1334" s="17"/>
      <c r="L1334" s="649">
        <f t="shared" si="85"/>
        <v>29.560319999999997</v>
      </c>
    </row>
    <row r="1335" spans="2:12" ht="15">
      <c r="B1335" s="650"/>
      <c r="C1335" s="20"/>
      <c r="D1335" s="20"/>
      <c r="E1335" s="20"/>
      <c r="F1335" s="20"/>
      <c r="G1335" s="20"/>
      <c r="H1335" s="20"/>
      <c r="I1335" s="20"/>
      <c r="J1335" s="24"/>
      <c r="K1335" s="17"/>
      <c r="L1335" s="649"/>
    </row>
    <row r="1336" spans="2:12" ht="15.75">
      <c r="B1336" s="760" t="s">
        <v>594</v>
      </c>
      <c r="C1336" s="20"/>
      <c r="D1336" s="20"/>
      <c r="E1336" s="20"/>
      <c r="F1336" s="20"/>
      <c r="G1336" s="20"/>
      <c r="H1336" s="20"/>
      <c r="I1336" s="20"/>
      <c r="J1336" s="24"/>
      <c r="K1336" s="17"/>
      <c r="L1336" s="649"/>
    </row>
    <row r="1337" spans="2:12" ht="15">
      <c r="B1337" s="648" t="s">
        <v>808</v>
      </c>
      <c r="C1337" s="20"/>
      <c r="D1337" s="20">
        <v>0.12</v>
      </c>
      <c r="E1337" s="20">
        <v>0.2</v>
      </c>
      <c r="F1337" s="20">
        <v>19.3</v>
      </c>
      <c r="G1337" s="20"/>
      <c r="H1337" s="20"/>
      <c r="I1337" s="20"/>
      <c r="J1337" s="24">
        <v>2</v>
      </c>
      <c r="K1337" s="17"/>
      <c r="L1337" s="649">
        <f t="shared" ref="L1337:L1340" si="86">PRODUCT(C1337:K1337)</f>
        <v>0.9264</v>
      </c>
    </row>
    <row r="1338" spans="2:12" ht="15">
      <c r="B1338" s="648" t="s">
        <v>809</v>
      </c>
      <c r="C1338" s="20"/>
      <c r="D1338" s="20">
        <v>0.12</v>
      </c>
      <c r="E1338" s="20">
        <v>0.2</v>
      </c>
      <c r="F1338" s="20">
        <v>12</v>
      </c>
      <c r="G1338" s="20"/>
      <c r="H1338" s="20"/>
      <c r="I1338" s="20"/>
      <c r="J1338" s="24">
        <v>2</v>
      </c>
      <c r="K1338" s="17"/>
      <c r="L1338" s="649">
        <f t="shared" si="86"/>
        <v>0.57600000000000007</v>
      </c>
    </row>
    <row r="1339" spans="2:12" ht="15">
      <c r="B1339" s="648" t="s">
        <v>810</v>
      </c>
      <c r="C1339" s="20"/>
      <c r="D1339" s="20">
        <v>0.12</v>
      </c>
      <c r="E1339" s="20">
        <v>0.2</v>
      </c>
      <c r="F1339" s="20">
        <v>4.3</v>
      </c>
      <c r="G1339" s="20"/>
      <c r="H1339" s="20"/>
      <c r="I1339" s="20">
        <v>2</v>
      </c>
      <c r="J1339" s="24">
        <v>2</v>
      </c>
      <c r="K1339" s="17"/>
      <c r="L1339" s="649">
        <f t="shared" si="86"/>
        <v>0.4128</v>
      </c>
    </row>
    <row r="1340" spans="2:12" ht="15">
      <c r="B1340" s="648" t="s">
        <v>811</v>
      </c>
      <c r="C1340" s="20"/>
      <c r="D1340" s="20">
        <v>0.12</v>
      </c>
      <c r="E1340" s="20">
        <v>0.2</v>
      </c>
      <c r="F1340" s="20">
        <v>4.3</v>
      </c>
      <c r="G1340" s="20"/>
      <c r="H1340" s="20"/>
      <c r="I1340" s="20"/>
      <c r="J1340" s="24">
        <v>2</v>
      </c>
      <c r="K1340" s="17"/>
      <c r="L1340" s="649">
        <f t="shared" si="86"/>
        <v>0.2064</v>
      </c>
    </row>
    <row r="1341" spans="2:12" ht="15">
      <c r="B1341" s="648" t="s">
        <v>812</v>
      </c>
      <c r="C1341" s="20"/>
      <c r="D1341" s="20">
        <v>0.12</v>
      </c>
      <c r="E1341" s="20">
        <v>0.2</v>
      </c>
      <c r="F1341" s="20">
        <v>0.6</v>
      </c>
      <c r="G1341" s="20"/>
      <c r="H1341" s="20"/>
      <c r="I1341" s="20"/>
      <c r="J1341" s="24">
        <v>2</v>
      </c>
      <c r="K1341" s="17"/>
      <c r="L1341" s="649">
        <f>PRODUCT(C1341:K1341)</f>
        <v>2.8799999999999999E-2</v>
      </c>
    </row>
    <row r="1342" spans="2:12" ht="15">
      <c r="B1342" s="650"/>
      <c r="C1342" s="20"/>
      <c r="D1342" s="20"/>
      <c r="E1342" s="20"/>
      <c r="F1342" s="20"/>
      <c r="G1342" s="20"/>
      <c r="H1342" s="20"/>
      <c r="I1342" s="20"/>
      <c r="J1342" s="24"/>
      <c r="K1342" s="17"/>
      <c r="L1342" s="649"/>
    </row>
    <row r="1343" spans="2:12" ht="15.75">
      <c r="B1343" s="760" t="s">
        <v>438</v>
      </c>
      <c r="C1343" s="20"/>
      <c r="D1343" s="20">
        <v>0.15</v>
      </c>
      <c r="E1343" s="20">
        <v>0.2</v>
      </c>
      <c r="F1343" s="20">
        <v>5.4</v>
      </c>
      <c r="G1343" s="20"/>
      <c r="H1343" s="20"/>
      <c r="I1343" s="20"/>
      <c r="J1343" s="24">
        <v>2</v>
      </c>
      <c r="K1343" s="216">
        <f>3*2</f>
        <v>6</v>
      </c>
      <c r="L1343" s="649">
        <f t="shared" ref="L1343:L1344" si="87">PRODUCT(C1343:K1343)</f>
        <v>1.944</v>
      </c>
    </row>
    <row r="1344" spans="2:12" ht="15">
      <c r="B1344" s="650" t="s">
        <v>527</v>
      </c>
      <c r="C1344" s="20"/>
      <c r="D1344" s="20">
        <v>0.15</v>
      </c>
      <c r="E1344" s="20">
        <v>0.2</v>
      </c>
      <c r="F1344" s="20">
        <v>4.8</v>
      </c>
      <c r="G1344" s="20"/>
      <c r="H1344" s="20"/>
      <c r="I1344" s="20"/>
      <c r="J1344" s="24">
        <v>3</v>
      </c>
      <c r="K1344" s="216">
        <v>2</v>
      </c>
      <c r="L1344" s="649">
        <f t="shared" si="87"/>
        <v>0.86399999999999988</v>
      </c>
    </row>
    <row r="1345" spans="2:12" ht="15">
      <c r="B1345" s="650"/>
      <c r="C1345" s="20"/>
      <c r="D1345" s="20"/>
      <c r="E1345" s="20"/>
      <c r="F1345" s="20"/>
      <c r="G1345" s="20"/>
      <c r="H1345" s="20"/>
      <c r="I1345" s="20"/>
      <c r="J1345" s="24"/>
      <c r="K1345" s="216"/>
      <c r="L1345" s="649"/>
    </row>
    <row r="1346" spans="2:12" ht="15">
      <c r="B1346" s="650"/>
      <c r="C1346" s="20"/>
      <c r="D1346" s="20"/>
      <c r="E1346" s="20"/>
      <c r="F1346" s="20"/>
      <c r="G1346" s="20"/>
      <c r="H1346" s="20"/>
      <c r="I1346" s="20"/>
      <c r="J1346" s="24"/>
      <c r="K1346" s="216"/>
      <c r="L1346" s="649"/>
    </row>
    <row r="1347" spans="2:12" ht="15">
      <c r="B1347" s="648" t="s">
        <v>528</v>
      </c>
      <c r="C1347" s="20"/>
      <c r="D1347" s="20">
        <v>0.12</v>
      </c>
      <c r="E1347" s="19">
        <v>0.2</v>
      </c>
      <c r="F1347" s="20">
        <v>14</v>
      </c>
      <c r="G1347" s="20"/>
      <c r="H1347" s="19"/>
      <c r="I1347" s="20"/>
      <c r="J1347" s="19">
        <v>2</v>
      </c>
      <c r="K1347" s="216">
        <v>2</v>
      </c>
      <c r="L1347" s="649">
        <f t="shared" ref="L1347:L1349" si="88">PRODUCT(C1347:K1347)</f>
        <v>1.3440000000000001</v>
      </c>
    </row>
    <row r="1348" spans="2:12" ht="15">
      <c r="B1348" s="648" t="s">
        <v>529</v>
      </c>
      <c r="C1348" s="20"/>
      <c r="D1348" s="20">
        <v>0.12</v>
      </c>
      <c r="E1348" s="19">
        <v>0.2</v>
      </c>
      <c r="F1348" s="20">
        <v>14</v>
      </c>
      <c r="G1348" s="20"/>
      <c r="H1348" s="19"/>
      <c r="I1348" s="20"/>
      <c r="J1348" s="19"/>
      <c r="K1348" s="216">
        <v>2</v>
      </c>
      <c r="L1348" s="649">
        <f t="shared" si="88"/>
        <v>0.67200000000000004</v>
      </c>
    </row>
    <row r="1349" spans="2:12" ht="15">
      <c r="B1349" s="648" t="s">
        <v>530</v>
      </c>
      <c r="C1349" s="20"/>
      <c r="D1349" s="20">
        <v>0.12</v>
      </c>
      <c r="E1349" s="19">
        <v>0.2</v>
      </c>
      <c r="F1349" s="20">
        <v>14</v>
      </c>
      <c r="G1349" s="20"/>
      <c r="H1349" s="19"/>
      <c r="I1349" s="20"/>
      <c r="J1349" s="19"/>
      <c r="K1349" s="216">
        <v>2</v>
      </c>
      <c r="L1349" s="649">
        <f t="shared" si="88"/>
        <v>0.67200000000000004</v>
      </c>
    </row>
    <row r="1350" spans="2:12" ht="15">
      <c r="B1350" s="648"/>
      <c r="C1350" s="20"/>
      <c r="D1350" s="20"/>
      <c r="E1350" s="19"/>
      <c r="F1350" s="20"/>
      <c r="G1350" s="20"/>
      <c r="H1350" s="19"/>
      <c r="I1350" s="20"/>
      <c r="J1350" s="19"/>
      <c r="K1350" s="216"/>
      <c r="L1350" s="649"/>
    </row>
    <row r="1351" spans="2:12" ht="15">
      <c r="B1351" s="650"/>
      <c r="C1351" s="20"/>
      <c r="D1351" s="20"/>
      <c r="E1351" s="19"/>
      <c r="F1351" s="20"/>
      <c r="G1351" s="20"/>
      <c r="H1351" s="20"/>
      <c r="I1351" s="20"/>
      <c r="J1351" s="24"/>
      <c r="K1351" s="17"/>
      <c r="L1351" s="649"/>
    </row>
    <row r="1352" spans="2:12" ht="15.75">
      <c r="B1352" s="760" t="s">
        <v>526</v>
      </c>
      <c r="C1352" s="20">
        <f>-L1306</f>
        <v>-196.37599999999998</v>
      </c>
      <c r="D1352" s="20">
        <v>0.12</v>
      </c>
      <c r="E1352" s="20">
        <v>0.2</v>
      </c>
      <c r="F1352" s="20"/>
      <c r="G1352" s="20"/>
      <c r="H1352" s="19"/>
      <c r="I1352" s="20"/>
      <c r="J1352" s="24"/>
      <c r="K1352" s="17"/>
      <c r="L1352" s="649">
        <f>PRODUCT(C1352:K1352)</f>
        <v>-4.7130239999999999</v>
      </c>
    </row>
    <row r="1353" spans="2:12" ht="15.75">
      <c r="B1353" s="760"/>
      <c r="C1353" s="20"/>
      <c r="D1353" s="20"/>
      <c r="E1353" s="20"/>
      <c r="F1353" s="20"/>
      <c r="G1353" s="20"/>
      <c r="H1353" s="19"/>
      <c r="I1353" s="20"/>
      <c r="J1353" s="24"/>
      <c r="K1353" s="17"/>
      <c r="L1353" s="649"/>
    </row>
    <row r="1354" spans="2:12" ht="15">
      <c r="B1354" s="650" t="s">
        <v>1158</v>
      </c>
      <c r="C1354" s="20"/>
      <c r="D1354" s="20"/>
      <c r="E1354" s="20">
        <v>2</v>
      </c>
      <c r="F1354" s="20">
        <v>90</v>
      </c>
      <c r="G1354" s="20"/>
      <c r="H1354" s="19"/>
      <c r="I1354" s="20"/>
      <c r="J1354" s="24"/>
      <c r="K1354" s="17"/>
      <c r="L1354" s="645">
        <f t="shared" ref="L1354" si="89">PRODUCT(C1354:K1354)</f>
        <v>180</v>
      </c>
    </row>
    <row r="1355" spans="2:12" ht="15.75">
      <c r="B1355" s="1002" t="s">
        <v>414</v>
      </c>
      <c r="C1355" s="1003"/>
      <c r="D1355" s="1003"/>
      <c r="E1355" s="1003"/>
      <c r="F1355" s="1003"/>
      <c r="G1355" s="1003"/>
      <c r="H1355" s="1003"/>
      <c r="I1355" s="1003"/>
      <c r="J1355" s="1003"/>
      <c r="K1355" s="1003"/>
      <c r="L1355" s="1004"/>
    </row>
    <row r="1356" spans="2:12" ht="15.75">
      <c r="B1356" s="756"/>
      <c r="C1356" s="757"/>
      <c r="D1356" s="757"/>
      <c r="E1356" s="757"/>
      <c r="F1356" s="757"/>
      <c r="G1356" s="757"/>
      <c r="H1356" s="757"/>
      <c r="I1356" s="757"/>
      <c r="J1356" s="757"/>
      <c r="K1356" s="757"/>
      <c r="L1356" s="758"/>
    </row>
    <row r="1357" spans="2:12" ht="15.75">
      <c r="B1357" s="638" t="s">
        <v>398</v>
      </c>
      <c r="C1357" s="8">
        <v>5</v>
      </c>
      <c r="D1357" s="9" t="s">
        <v>1029</v>
      </c>
      <c r="E1357" s="9"/>
      <c r="F1357" s="9"/>
      <c r="G1357" s="9"/>
      <c r="H1357" s="9"/>
      <c r="I1357" s="9"/>
      <c r="J1357" s="9"/>
      <c r="K1357" s="10"/>
      <c r="L1357" s="639"/>
    </row>
    <row r="1358" spans="2:12" ht="15">
      <c r="B1358" s="1005"/>
      <c r="C1358" s="1006"/>
      <c r="D1358" s="1006"/>
      <c r="E1358" s="1006"/>
      <c r="F1358" s="1006"/>
      <c r="G1358" s="1006"/>
      <c r="H1358" s="1006"/>
      <c r="I1358" s="1006"/>
      <c r="J1358" s="1006"/>
      <c r="K1358" s="1006"/>
      <c r="L1358" s="1007"/>
    </row>
    <row r="1359" spans="2:12" ht="63">
      <c r="B1359" s="642" t="s">
        <v>399</v>
      </c>
      <c r="C1359" s="25">
        <f>+'PROPUESTA ECONOMICA(Proponente)'!C77</f>
        <v>5.6</v>
      </c>
      <c r="D1359" s="12" t="str">
        <f>+VLOOKUP('MEMORIAS DE CANTIDADES'!C1359,'PROPUESTA ECONOMICA(Proponente)'!$C$21:$H$310,5,FALSE)</f>
        <v>Mesón de lavamanos A 0.60 mts, fabricado en sitio con láminas de granito San Gabriel o similar acabado brillante. (Incluye suministro y mortero de fijación)</v>
      </c>
      <c r="E1359" s="13"/>
      <c r="F1359" s="12"/>
      <c r="G1359" s="12"/>
      <c r="H1359" s="12"/>
      <c r="I1359" s="11" t="s">
        <v>400</v>
      </c>
      <c r="J1359" s="12" t="str">
        <f>+VLOOKUP('MEMORIAS DE CANTIDADES'!C1359,'PROPUESTA ECONOMICA(Proponente)'!$C$21:$H$310,6,FALSE)</f>
        <v>ml</v>
      </c>
      <c r="K1359" s="11" t="s">
        <v>401</v>
      </c>
      <c r="L1359" s="643">
        <f>SUM(L1360:L1366)</f>
        <v>44.519999999999996</v>
      </c>
    </row>
    <row r="1360" spans="2:12" ht="15">
      <c r="B1360" s="644"/>
      <c r="C1360" s="16"/>
      <c r="D1360" s="15"/>
      <c r="E1360" s="15"/>
      <c r="F1360" s="15"/>
      <c r="G1360" s="15"/>
      <c r="H1360" s="15"/>
      <c r="I1360" s="15"/>
      <c r="J1360" s="15"/>
      <c r="K1360" s="17"/>
      <c r="L1360" s="645"/>
    </row>
    <row r="1361" spans="2:12" ht="47.25">
      <c r="B1361" s="646" t="s">
        <v>402</v>
      </c>
      <c r="C1361" s="18" t="s">
        <v>403</v>
      </c>
      <c r="D1361" s="18" t="s">
        <v>404</v>
      </c>
      <c r="E1361" s="18" t="s">
        <v>405</v>
      </c>
      <c r="F1361" s="18" t="s">
        <v>406</v>
      </c>
      <c r="G1361" s="18" t="s">
        <v>407</v>
      </c>
      <c r="H1361" s="5" t="s">
        <v>408</v>
      </c>
      <c r="I1361" s="18" t="s">
        <v>409</v>
      </c>
      <c r="J1361" s="5" t="s">
        <v>410</v>
      </c>
      <c r="K1361" s="5" t="s">
        <v>411</v>
      </c>
      <c r="L1361" s="647" t="s">
        <v>412</v>
      </c>
    </row>
    <row r="1362" spans="2:12" ht="15">
      <c r="B1362" s="648"/>
      <c r="C1362" s="19"/>
      <c r="D1362" s="19"/>
      <c r="E1362" s="19"/>
      <c r="F1362" s="19"/>
      <c r="G1362" s="20"/>
      <c r="H1362" s="68"/>
      <c r="I1362" s="17"/>
      <c r="J1362" s="22"/>
      <c r="K1362" s="17"/>
      <c r="L1362" s="649"/>
    </row>
    <row r="1363" spans="2:12" ht="15">
      <c r="B1363" s="648" t="s">
        <v>598</v>
      </c>
      <c r="C1363" s="19"/>
      <c r="D1363" s="19"/>
      <c r="E1363" s="19"/>
      <c r="F1363" s="19">
        <f>1.5+4.38+4.7+2.5+3.5+4.38</f>
        <v>20.959999999999997</v>
      </c>
      <c r="G1363" s="20"/>
      <c r="H1363" s="68"/>
      <c r="I1363" s="17"/>
      <c r="J1363" s="22"/>
      <c r="K1363" s="17"/>
      <c r="L1363" s="649">
        <f>PRODUCT(C1363:K1363)</f>
        <v>20.959999999999997</v>
      </c>
    </row>
    <row r="1364" spans="2:12" ht="15">
      <c r="B1364" s="648" t="s">
        <v>659</v>
      </c>
      <c r="C1364" s="20"/>
      <c r="D1364" s="19"/>
      <c r="E1364" s="19"/>
      <c r="F1364" s="19">
        <f>4.38+3.7+3.7+3.7+3.7+4.38</f>
        <v>23.56</v>
      </c>
      <c r="G1364" s="20"/>
      <c r="H1364" s="68"/>
      <c r="I1364" s="17"/>
      <c r="J1364" s="24"/>
      <c r="K1364" s="17"/>
      <c r="L1364" s="649">
        <f>PRODUCT(C1364:K1364)</f>
        <v>23.56</v>
      </c>
    </row>
    <row r="1365" spans="2:12" ht="15">
      <c r="B1365" s="650"/>
      <c r="C1365" s="20"/>
      <c r="D1365" s="20"/>
      <c r="E1365" s="20"/>
      <c r="F1365" s="20"/>
      <c r="G1365" s="20"/>
      <c r="H1365" s="19"/>
      <c r="I1365" s="20"/>
      <c r="J1365" s="24"/>
      <c r="K1365" s="17"/>
      <c r="L1365" s="645"/>
    </row>
    <row r="1366" spans="2:12" ht="15.75">
      <c r="B1366" s="1002" t="s">
        <v>414</v>
      </c>
      <c r="C1366" s="1003"/>
      <c r="D1366" s="1003"/>
      <c r="E1366" s="1003"/>
      <c r="F1366" s="1003"/>
      <c r="G1366" s="1003"/>
      <c r="H1366" s="1003"/>
      <c r="I1366" s="1003"/>
      <c r="J1366" s="1003"/>
      <c r="K1366" s="1003"/>
      <c r="L1366" s="1004"/>
    </row>
    <row r="1367" spans="2:12" ht="15.75">
      <c r="B1367" s="756"/>
      <c r="C1367" s="757"/>
      <c r="D1367" s="757"/>
      <c r="E1367" s="757"/>
      <c r="F1367" s="757"/>
      <c r="G1367" s="757"/>
      <c r="H1367" s="757"/>
      <c r="I1367" s="757"/>
      <c r="J1367" s="757"/>
      <c r="K1367" s="757"/>
      <c r="L1367" s="758"/>
    </row>
    <row r="1368" spans="2:12" ht="15.75">
      <c r="B1368" s="638" t="s">
        <v>398</v>
      </c>
      <c r="C1368" s="8">
        <v>5</v>
      </c>
      <c r="D1368" s="9" t="s">
        <v>1029</v>
      </c>
      <c r="E1368" s="9"/>
      <c r="F1368" s="9"/>
      <c r="G1368" s="9"/>
      <c r="H1368" s="9"/>
      <c r="I1368" s="9"/>
      <c r="J1368" s="9"/>
      <c r="K1368" s="10"/>
      <c r="L1368" s="639"/>
    </row>
    <row r="1369" spans="2:12" ht="15">
      <c r="B1369" s="1005"/>
      <c r="C1369" s="1006"/>
      <c r="D1369" s="1006"/>
      <c r="E1369" s="1006"/>
      <c r="F1369" s="1006"/>
      <c r="G1369" s="1006"/>
      <c r="H1369" s="1006"/>
      <c r="I1369" s="1006"/>
      <c r="J1369" s="1006"/>
      <c r="K1369" s="1006"/>
      <c r="L1369" s="1007"/>
    </row>
    <row r="1370" spans="2:12" ht="47.25">
      <c r="B1370" s="642" t="s">
        <v>399</v>
      </c>
      <c r="C1370" s="25">
        <f>+'PROPUESTA ECONOMICA(Proponente)'!C78</f>
        <v>5.7</v>
      </c>
      <c r="D1370" s="12" t="str">
        <f>+VLOOKUP('MEMORIAS DE CANTIDADES'!C1370,'PROPUESTA ECONOMICA(Proponente)'!$C$21:$H$310,5,FALSE)</f>
        <v>MESONES EN CONCRETO A=0.60 mts. (incluye suministro, instalación de concreto 2500PSI, formaleta y refuerzo) e:0.10 m.</v>
      </c>
      <c r="E1370" s="13"/>
      <c r="F1370" s="12"/>
      <c r="G1370" s="12"/>
      <c r="H1370" s="12"/>
      <c r="I1370" s="11" t="s">
        <v>400</v>
      </c>
      <c r="J1370" s="12" t="str">
        <f>+VLOOKUP('MEMORIAS DE CANTIDADES'!C1370,'PROPUESTA ECONOMICA(Proponente)'!$C$21:$H$310,6,FALSE)</f>
        <v>m2</v>
      </c>
      <c r="K1370" s="11" t="s">
        <v>401</v>
      </c>
      <c r="L1370" s="643">
        <f>SUM(L1371:L1380)</f>
        <v>6</v>
      </c>
    </row>
    <row r="1371" spans="2:12" ht="15">
      <c r="B1371" s="644"/>
      <c r="C1371" s="16"/>
      <c r="D1371" s="15"/>
      <c r="E1371" s="15"/>
      <c r="F1371" s="15"/>
      <c r="G1371" s="15"/>
      <c r="H1371" s="15"/>
      <c r="I1371" s="15"/>
      <c r="J1371" s="15"/>
      <c r="K1371" s="17"/>
      <c r="L1371" s="645"/>
    </row>
    <row r="1372" spans="2:12" ht="47.25">
      <c r="B1372" s="646" t="s">
        <v>402</v>
      </c>
      <c r="C1372" s="18" t="s">
        <v>403</v>
      </c>
      <c r="D1372" s="18" t="s">
        <v>404</v>
      </c>
      <c r="E1372" s="18" t="s">
        <v>405</v>
      </c>
      <c r="F1372" s="18" t="s">
        <v>406</v>
      </c>
      <c r="G1372" s="18" t="s">
        <v>407</v>
      </c>
      <c r="H1372" s="5" t="s">
        <v>408</v>
      </c>
      <c r="I1372" s="18" t="s">
        <v>409</v>
      </c>
      <c r="J1372" s="5" t="s">
        <v>410</v>
      </c>
      <c r="K1372" s="5" t="s">
        <v>411</v>
      </c>
      <c r="L1372" s="647" t="s">
        <v>412</v>
      </c>
    </row>
    <row r="1373" spans="2:12" ht="15">
      <c r="B1373" s="648"/>
      <c r="C1373" s="20"/>
      <c r="D1373" s="20"/>
      <c r="E1373" s="20"/>
      <c r="F1373" s="20"/>
      <c r="G1373" s="20"/>
      <c r="H1373" s="20"/>
      <c r="I1373" s="20"/>
      <c r="J1373" s="24"/>
      <c r="K1373" s="17"/>
      <c r="L1373" s="649"/>
    </row>
    <row r="1374" spans="2:12" ht="15">
      <c r="B1374" s="650" t="s">
        <v>814</v>
      </c>
      <c r="C1374" s="20"/>
      <c r="D1374" s="20">
        <v>0.6</v>
      </c>
      <c r="E1374" s="20"/>
      <c r="F1374" s="20">
        <v>5</v>
      </c>
      <c r="G1374" s="20"/>
      <c r="H1374" s="19"/>
      <c r="I1374" s="20"/>
      <c r="J1374" s="24">
        <v>2</v>
      </c>
      <c r="K1374" s="17"/>
      <c r="L1374" s="649">
        <f t="shared" ref="L1374" si="90">PRODUCT(C1374:K1374)</f>
        <v>6</v>
      </c>
    </row>
    <row r="1375" spans="2:12" ht="15">
      <c r="B1375" s="650"/>
      <c r="C1375" s="20"/>
      <c r="D1375" s="20"/>
      <c r="E1375" s="20"/>
      <c r="F1375" s="20"/>
      <c r="G1375" s="20"/>
      <c r="H1375" s="19"/>
      <c r="I1375" s="20"/>
      <c r="J1375" s="24"/>
      <c r="K1375" s="17"/>
      <c r="L1375" s="649"/>
    </row>
    <row r="1376" spans="2:12" ht="15">
      <c r="B1376" s="650"/>
      <c r="C1376" s="20"/>
      <c r="D1376" s="20"/>
      <c r="E1376" s="20"/>
      <c r="F1376" s="20"/>
      <c r="G1376" s="20"/>
      <c r="H1376" s="19"/>
      <c r="I1376" s="20"/>
      <c r="J1376" s="24"/>
      <c r="K1376" s="17"/>
      <c r="L1376" s="649"/>
    </row>
    <row r="1377" spans="2:12" ht="15">
      <c r="B1377" s="650"/>
      <c r="C1377" s="20"/>
      <c r="D1377" s="20"/>
      <c r="E1377" s="20"/>
      <c r="F1377" s="20"/>
      <c r="G1377" s="20"/>
      <c r="H1377" s="19"/>
      <c r="I1377" s="20"/>
      <c r="J1377" s="24"/>
      <c r="K1377" s="17"/>
      <c r="L1377" s="649"/>
    </row>
    <row r="1378" spans="2:12" ht="15">
      <c r="B1378" s="650"/>
      <c r="C1378" s="20"/>
      <c r="D1378" s="20"/>
      <c r="E1378" s="20"/>
      <c r="F1378" s="20"/>
      <c r="G1378" s="20"/>
      <c r="H1378" s="19"/>
      <c r="I1378" s="20"/>
      <c r="J1378" s="24"/>
      <c r="K1378" s="17"/>
      <c r="L1378" s="649"/>
    </row>
    <row r="1379" spans="2:12" ht="15">
      <c r="B1379" s="650"/>
      <c r="C1379" s="20"/>
      <c r="D1379" s="20"/>
      <c r="E1379" s="20"/>
      <c r="F1379" s="20"/>
      <c r="G1379" s="20"/>
      <c r="H1379" s="19"/>
      <c r="I1379" s="20"/>
      <c r="J1379" s="24"/>
      <c r="K1379" s="17"/>
      <c r="L1379" s="645"/>
    </row>
    <row r="1380" spans="2:12" ht="15.75">
      <c r="B1380" s="1002" t="s">
        <v>414</v>
      </c>
      <c r="C1380" s="1003"/>
      <c r="D1380" s="1003"/>
      <c r="E1380" s="1003"/>
      <c r="F1380" s="1003"/>
      <c r="G1380" s="1003"/>
      <c r="H1380" s="1003"/>
      <c r="I1380" s="1003"/>
      <c r="J1380" s="1003"/>
      <c r="K1380" s="1003"/>
      <c r="L1380" s="1004"/>
    </row>
    <row r="1381" spans="2:12" ht="15.75">
      <c r="B1381" s="756"/>
      <c r="C1381" s="757"/>
      <c r="D1381" s="757"/>
      <c r="E1381" s="757"/>
      <c r="F1381" s="757"/>
      <c r="G1381" s="757"/>
      <c r="H1381" s="757"/>
      <c r="I1381" s="757"/>
      <c r="J1381" s="757"/>
      <c r="K1381" s="757"/>
      <c r="L1381" s="758"/>
    </row>
    <row r="1382" spans="2:12">
      <c r="B1382" s="651"/>
      <c r="L1382" s="652"/>
    </row>
    <row r="1383" spans="2:12" ht="15" customHeight="1">
      <c r="B1383" s="638" t="s">
        <v>398</v>
      </c>
      <c r="C1383" s="8">
        <v>6</v>
      </c>
      <c r="D1383" s="9" t="s">
        <v>1030</v>
      </c>
      <c r="E1383" s="9"/>
      <c r="F1383" s="9"/>
      <c r="G1383" s="9"/>
      <c r="H1383" s="9"/>
      <c r="I1383" s="9"/>
      <c r="J1383" s="9"/>
      <c r="K1383" s="10"/>
      <c r="L1383" s="639"/>
    </row>
    <row r="1384" spans="2:12" ht="15">
      <c r="B1384" s="1005"/>
      <c r="C1384" s="1006"/>
      <c r="D1384" s="1006"/>
      <c r="E1384" s="1006"/>
      <c r="F1384" s="1006"/>
      <c r="G1384" s="1006"/>
      <c r="H1384" s="1006"/>
      <c r="I1384" s="1006"/>
      <c r="J1384" s="1006"/>
      <c r="K1384" s="1006"/>
      <c r="L1384" s="1007"/>
    </row>
    <row r="1385" spans="2:12" ht="31.5">
      <c r="B1385" s="653" t="s">
        <v>399</v>
      </c>
      <c r="C1385" s="11">
        <f>+'PROPUESTA ECONOMICA(Proponente)'!C81</f>
        <v>6.1</v>
      </c>
      <c r="D1385" s="12" t="str">
        <f>+VLOOKUP('MEMORIAS DE CANTIDADES'!C1385,'PROPUESTA ECONOMICA(Proponente)'!$C$21:$H$310,5,FALSE)</f>
        <v xml:space="preserve">EXCAVACIONES :Excavación manual, cimentación cerramiento </v>
      </c>
      <c r="E1385" s="13"/>
      <c r="F1385" s="12"/>
      <c r="G1385" s="12"/>
      <c r="H1385" s="12"/>
      <c r="I1385" s="11" t="s">
        <v>400</v>
      </c>
      <c r="J1385" s="12" t="str">
        <f>+VLOOKUP('MEMORIAS DE CANTIDADES'!C1385,'PROPUESTA ECONOMICA(Proponente)'!$C$21:$H$310,6,FALSE)</f>
        <v>m3</v>
      </c>
      <c r="K1385" s="11" t="s">
        <v>401</v>
      </c>
      <c r="L1385" s="643">
        <f>SUM(L1386:L1404)</f>
        <v>1841.2603999999999</v>
      </c>
    </row>
    <row r="1386" spans="2:12" ht="15">
      <c r="B1386" s="644"/>
      <c r="C1386" s="16"/>
      <c r="D1386" s="15"/>
      <c r="E1386" s="15"/>
      <c r="F1386" s="15"/>
      <c r="G1386" s="15"/>
      <c r="H1386" s="15"/>
      <c r="I1386" s="15"/>
      <c r="J1386" s="15"/>
      <c r="K1386" s="17"/>
      <c r="L1386" s="645"/>
    </row>
    <row r="1387" spans="2:12" ht="47.25">
      <c r="B1387" s="646" t="s">
        <v>402</v>
      </c>
      <c r="C1387" s="18" t="s">
        <v>403</v>
      </c>
      <c r="D1387" s="18" t="s">
        <v>404</v>
      </c>
      <c r="E1387" s="18" t="s">
        <v>405</v>
      </c>
      <c r="F1387" s="18" t="s">
        <v>406</v>
      </c>
      <c r="G1387" s="18" t="s">
        <v>407</v>
      </c>
      <c r="H1387" s="5" t="s">
        <v>408</v>
      </c>
      <c r="I1387" s="18" t="s">
        <v>409</v>
      </c>
      <c r="J1387" s="5" t="s">
        <v>410</v>
      </c>
      <c r="K1387" s="5" t="s">
        <v>411</v>
      </c>
      <c r="L1387" s="647" t="s">
        <v>412</v>
      </c>
    </row>
    <row r="1388" spans="2:12" ht="16.5">
      <c r="B1388" s="658"/>
      <c r="C1388" s="18"/>
      <c r="D1388" s="18"/>
      <c r="E1388" s="18"/>
      <c r="G1388" s="18"/>
      <c r="H1388" s="5"/>
      <c r="I1388" s="41"/>
      <c r="J1388" s="46"/>
      <c r="K1388" s="5"/>
      <c r="L1388" s="649"/>
    </row>
    <row r="1389" spans="2:12" ht="30">
      <c r="B1389" s="734" t="s">
        <v>499</v>
      </c>
      <c r="C1389" s="19" t="s">
        <v>865</v>
      </c>
      <c r="D1389" s="19">
        <v>1</v>
      </c>
      <c r="E1389" s="48">
        <v>1</v>
      </c>
      <c r="F1389" s="60">
        <v>401</v>
      </c>
      <c r="G1389" s="57"/>
      <c r="H1389" s="21"/>
      <c r="I1389" s="55"/>
      <c r="J1389" s="56"/>
      <c r="K1389" s="5"/>
      <c r="L1389" s="649">
        <f t="shared" ref="L1389" si="91">PRODUCT(C1389:K1389)</f>
        <v>401</v>
      </c>
    </row>
    <row r="1390" spans="2:12" ht="15.75">
      <c r="B1390" s="734"/>
      <c r="C1390" s="19"/>
      <c r="D1390" s="19"/>
      <c r="E1390" s="48"/>
      <c r="F1390" s="47"/>
      <c r="G1390" s="57"/>
      <c r="H1390" s="21"/>
      <c r="I1390" s="55"/>
      <c r="J1390" s="56"/>
      <c r="K1390" s="5"/>
      <c r="L1390" s="761"/>
    </row>
    <row r="1391" spans="2:12" ht="15.75">
      <c r="B1391" s="734" t="s">
        <v>500</v>
      </c>
      <c r="C1391" s="19"/>
      <c r="D1391" s="19"/>
      <c r="E1391" s="48"/>
      <c r="F1391" s="47"/>
      <c r="G1391" s="57"/>
      <c r="H1391" s="21"/>
      <c r="I1391" s="55"/>
      <c r="J1391" s="56"/>
      <c r="K1391" s="5"/>
      <c r="L1391" s="761"/>
    </row>
    <row r="1392" spans="2:12" ht="15.75">
      <c r="B1392" s="715" t="s">
        <v>598</v>
      </c>
      <c r="C1392" s="39"/>
      <c r="D1392" s="39"/>
      <c r="E1392" s="39"/>
      <c r="F1392" s="39"/>
      <c r="G1392" s="39"/>
      <c r="H1392" s="39"/>
      <c r="I1392" s="39"/>
      <c r="J1392" s="39"/>
      <c r="K1392" s="39"/>
      <c r="L1392" s="738"/>
    </row>
    <row r="1393" spans="2:12" ht="15.75">
      <c r="B1393" s="734" t="s">
        <v>435</v>
      </c>
      <c r="C1393" s="61"/>
      <c r="D1393" s="61">
        <v>1.2</v>
      </c>
      <c r="E1393" s="59">
        <v>1.6</v>
      </c>
      <c r="F1393" s="61">
        <v>0.8</v>
      </c>
      <c r="G1393" s="63"/>
      <c r="H1393" s="64"/>
      <c r="I1393" s="65">
        <f>ROUND(360.8/2.5,0)</f>
        <v>144</v>
      </c>
      <c r="J1393" s="66"/>
      <c r="K1393" s="52"/>
      <c r="L1393" s="649">
        <f>PRODUCT(C1393:K1393)</f>
        <v>221.184</v>
      </c>
    </row>
    <row r="1394" spans="2:12" ht="15.75">
      <c r="B1394" s="734" t="s">
        <v>501</v>
      </c>
      <c r="C1394" s="19" t="s">
        <v>866</v>
      </c>
      <c r="D1394" s="61">
        <v>1.2</v>
      </c>
      <c r="E1394" s="59">
        <v>1.3</v>
      </c>
      <c r="F1394" s="61">
        <v>2.21</v>
      </c>
      <c r="G1394" s="63"/>
      <c r="H1394" s="64"/>
      <c r="I1394" s="65">
        <f>ROUND(360.8/2.5,0)</f>
        <v>144</v>
      </c>
      <c r="J1394" s="66"/>
      <c r="K1394" s="52"/>
      <c r="L1394" s="649">
        <f>PRODUCT(C1394:K1394)</f>
        <v>496.45440000000002</v>
      </c>
    </row>
    <row r="1395" spans="2:12" ht="15.75">
      <c r="B1395" s="734"/>
      <c r="C1395" s="61"/>
      <c r="D1395" s="61"/>
      <c r="E1395" s="59"/>
      <c r="F1395" s="62"/>
      <c r="G1395" s="63"/>
      <c r="H1395" s="64"/>
      <c r="I1395" s="65"/>
      <c r="J1395" s="66"/>
      <c r="K1395" s="52"/>
      <c r="L1395" s="649"/>
    </row>
    <row r="1396" spans="2:12" ht="15.75">
      <c r="B1396" s="734"/>
      <c r="C1396" s="19"/>
      <c r="D1396" s="19"/>
      <c r="E1396" s="48"/>
      <c r="F1396" s="39"/>
      <c r="G1396" s="57"/>
      <c r="H1396" s="21"/>
      <c r="I1396" s="47"/>
      <c r="J1396" s="56"/>
      <c r="K1396" s="5"/>
      <c r="L1396" s="649"/>
    </row>
    <row r="1397" spans="2:12" ht="15.75">
      <c r="B1397" s="715" t="s">
        <v>807</v>
      </c>
      <c r="C1397" s="19"/>
      <c r="D1397" s="39"/>
      <c r="E1397" s="39"/>
      <c r="F1397" s="39"/>
      <c r="G1397" s="39"/>
      <c r="H1397" s="39"/>
      <c r="I1397" s="39"/>
      <c r="J1397" s="39"/>
      <c r="K1397" s="39"/>
      <c r="L1397" s="649"/>
    </row>
    <row r="1398" spans="2:12" ht="15.75">
      <c r="B1398" s="734" t="s">
        <v>435</v>
      </c>
      <c r="C1398" s="19"/>
      <c r="D1398" s="20">
        <v>1.2</v>
      </c>
      <c r="E1398" s="20">
        <v>1.6</v>
      </c>
      <c r="F1398" s="61">
        <v>0.8</v>
      </c>
      <c r="G1398" s="57"/>
      <c r="H1398" s="21"/>
      <c r="I1398" s="47">
        <f>ROUND(247/2.5,0)+1</f>
        <v>100</v>
      </c>
      <c r="J1398" s="56"/>
      <c r="K1398" s="5"/>
      <c r="L1398" s="649">
        <f t="shared" ref="L1398:L1399" si="92">PRODUCT(C1398:K1398)</f>
        <v>153.6</v>
      </c>
    </row>
    <row r="1399" spans="2:12" ht="15">
      <c r="B1399" s="746" t="s">
        <v>501</v>
      </c>
      <c r="C1399" s="19" t="s">
        <v>866</v>
      </c>
      <c r="D1399" s="20">
        <v>1.2</v>
      </c>
      <c r="E1399" s="20">
        <v>1.3</v>
      </c>
      <c r="F1399" s="61">
        <v>2.21</v>
      </c>
      <c r="G1399" s="19"/>
      <c r="H1399" s="21"/>
      <c r="I1399" s="47">
        <f>ROUND(247/2.5,0)+1</f>
        <v>100</v>
      </c>
      <c r="J1399" s="56"/>
      <c r="K1399" s="17"/>
      <c r="L1399" s="649">
        <f t="shared" si="92"/>
        <v>344.76</v>
      </c>
    </row>
    <row r="1400" spans="2:12" ht="15">
      <c r="B1400" s="740"/>
      <c r="C1400" s="19"/>
      <c r="D1400" s="20"/>
      <c r="E1400" s="20"/>
      <c r="F1400" s="47"/>
      <c r="G1400" s="57"/>
      <c r="H1400" s="21"/>
      <c r="I1400" s="55"/>
      <c r="J1400" s="56"/>
      <c r="K1400" s="17"/>
      <c r="L1400" s="649"/>
    </row>
    <row r="1401" spans="2:12" ht="15.75">
      <c r="B1401" s="715" t="s">
        <v>782</v>
      </c>
      <c r="C1401" s="19"/>
      <c r="D1401" s="39"/>
      <c r="E1401" s="39"/>
      <c r="F1401" s="39"/>
      <c r="G1401" s="39"/>
      <c r="H1401" s="39"/>
      <c r="I1401" s="39"/>
      <c r="J1401" s="39"/>
      <c r="K1401" s="39"/>
      <c r="L1401" s="649"/>
    </row>
    <row r="1402" spans="2:12" ht="15.75">
      <c r="B1402" s="734" t="s">
        <v>435</v>
      </c>
      <c r="C1402" s="19"/>
      <c r="D1402" s="20">
        <v>1.2</v>
      </c>
      <c r="E1402" s="20">
        <v>1.6</v>
      </c>
      <c r="F1402" s="61">
        <v>0.8</v>
      </c>
      <c r="G1402" s="57"/>
      <c r="H1402" s="21"/>
      <c r="I1402" s="47">
        <f>ROUND(109/2.5,0)+1</f>
        <v>45</v>
      </c>
      <c r="J1402" s="56"/>
      <c r="K1402" s="5"/>
      <c r="L1402" s="649">
        <f t="shared" ref="L1402:L1403" si="93">PRODUCT(C1402:K1402)</f>
        <v>69.12</v>
      </c>
    </row>
    <row r="1403" spans="2:12" ht="15">
      <c r="B1403" s="746" t="s">
        <v>501</v>
      </c>
      <c r="C1403" s="19" t="s">
        <v>866</v>
      </c>
      <c r="D1403" s="20">
        <v>1.2</v>
      </c>
      <c r="E1403" s="20">
        <v>1.3</v>
      </c>
      <c r="F1403" s="47">
        <v>2.21</v>
      </c>
      <c r="G1403" s="19"/>
      <c r="H1403" s="21"/>
      <c r="I1403" s="47">
        <f>ROUND(109/2.5,0)+1</f>
        <v>45</v>
      </c>
      <c r="J1403" s="56"/>
      <c r="K1403" s="17"/>
      <c r="L1403" s="649">
        <f t="shared" si="93"/>
        <v>155.142</v>
      </c>
    </row>
    <row r="1404" spans="2:12" ht="15.75">
      <c r="B1404" s="1002" t="s">
        <v>414</v>
      </c>
      <c r="C1404" s="1003"/>
      <c r="D1404" s="1003"/>
      <c r="E1404" s="1003"/>
      <c r="F1404" s="1003"/>
      <c r="G1404" s="1003"/>
      <c r="H1404" s="1003"/>
      <c r="I1404" s="1003"/>
      <c r="J1404" s="1003"/>
      <c r="K1404" s="1003"/>
      <c r="L1404" s="1004"/>
    </row>
    <row r="1405" spans="2:12">
      <c r="B1405" s="651"/>
      <c r="L1405" s="652"/>
    </row>
    <row r="1406" spans="2:12" ht="15.75">
      <c r="B1406" s="638" t="s">
        <v>398</v>
      </c>
      <c r="C1406" s="8">
        <v>6</v>
      </c>
      <c r="D1406" s="1008" t="s">
        <v>1030</v>
      </c>
      <c r="E1406" s="1009"/>
      <c r="F1406" s="1009"/>
      <c r="G1406" s="1009"/>
      <c r="H1406" s="1009"/>
      <c r="I1406" s="1009"/>
      <c r="J1406" s="1009"/>
      <c r="K1406" s="1009"/>
      <c r="L1406" s="1010"/>
    </row>
    <row r="1407" spans="2:12" ht="15">
      <c r="B1407" s="1005"/>
      <c r="C1407" s="1006"/>
      <c r="D1407" s="1006"/>
      <c r="E1407" s="1006"/>
      <c r="F1407" s="1006"/>
      <c r="G1407" s="1006"/>
      <c r="H1407" s="1006"/>
      <c r="I1407" s="1006"/>
      <c r="J1407" s="1006"/>
      <c r="K1407" s="1006"/>
      <c r="L1407" s="1007"/>
    </row>
    <row r="1408" spans="2:12" ht="31.5">
      <c r="B1408" s="642" t="s">
        <v>399</v>
      </c>
      <c r="C1408" s="11">
        <f>+'PROPUESTA ECONOMICA(Proponente)'!C82</f>
        <v>6.2</v>
      </c>
      <c r="D1408" s="12" t="str">
        <f>+VLOOKUP('MEMORIAS DE CANTIDADES'!C1408,'PROPUESTA ECONOMICA(Proponente)'!$C$21:$H$310,5,FALSE)</f>
        <v>Concreto ciclópeo 3000 psi, relación 60%C/40%P.  (Incluye suministro y colocación)</v>
      </c>
      <c r="E1408" s="13"/>
      <c r="F1408" s="12"/>
      <c r="G1408" s="12"/>
      <c r="H1408" s="12"/>
      <c r="I1408" s="11" t="s">
        <v>400</v>
      </c>
      <c r="J1408" s="12" t="str">
        <f>+VLOOKUP('MEMORIAS DE CANTIDADES'!C1408,'PROPUESTA ECONOMICA(Proponente)'!$C$21:$H$310,6,FALSE)</f>
        <v>m3</v>
      </c>
      <c r="K1408" s="11" t="s">
        <v>401</v>
      </c>
      <c r="L1408" s="643">
        <f>SUM(L1411:L1420)</f>
        <v>143.38199999999998</v>
      </c>
    </row>
    <row r="1409" spans="2:12" ht="15">
      <c r="B1409" s="644"/>
      <c r="C1409" s="16"/>
      <c r="D1409" s="15"/>
      <c r="E1409" s="15"/>
      <c r="F1409" s="15"/>
      <c r="G1409" s="15"/>
      <c r="H1409" s="15"/>
      <c r="I1409" s="15"/>
      <c r="J1409" s="15"/>
      <c r="K1409" s="17"/>
      <c r="L1409" s="645"/>
    </row>
    <row r="1410" spans="2:12" ht="47.25">
      <c r="B1410" s="646" t="s">
        <v>402</v>
      </c>
      <c r="C1410" s="18" t="s">
        <v>403</v>
      </c>
      <c r="D1410" s="18" t="s">
        <v>404</v>
      </c>
      <c r="E1410" s="18" t="s">
        <v>405</v>
      </c>
      <c r="F1410" s="18" t="s">
        <v>406</v>
      </c>
      <c r="G1410" s="18" t="s">
        <v>407</v>
      </c>
      <c r="H1410" s="5" t="s">
        <v>408</v>
      </c>
      <c r="I1410" s="18" t="s">
        <v>409</v>
      </c>
      <c r="J1410" s="5" t="s">
        <v>410</v>
      </c>
      <c r="K1410" s="5" t="s">
        <v>411</v>
      </c>
      <c r="L1410" s="647" t="s">
        <v>412</v>
      </c>
    </row>
    <row r="1411" spans="2:12" ht="15">
      <c r="B1411" s="734"/>
      <c r="C1411" s="19"/>
      <c r="D1411" s="39"/>
      <c r="E1411" s="39"/>
      <c r="F1411" s="39"/>
      <c r="G1411" s="39"/>
      <c r="H1411" s="39"/>
      <c r="I1411" s="39"/>
      <c r="J1411" s="39"/>
      <c r="K1411" s="39"/>
      <c r="L1411" s="649"/>
    </row>
    <row r="1412" spans="2:12" ht="30">
      <c r="B1412" s="734" t="s">
        <v>499</v>
      </c>
      <c r="C1412" s="19"/>
      <c r="D1412" s="19">
        <v>0.5</v>
      </c>
      <c r="E1412" s="48">
        <v>0.3</v>
      </c>
      <c r="F1412" s="60">
        <f>133+201+58+9</f>
        <v>401</v>
      </c>
      <c r="G1412" s="57"/>
      <c r="H1412" s="21"/>
      <c r="I1412" s="55"/>
      <c r="J1412" s="56"/>
      <c r="K1412" s="17"/>
      <c r="L1412" s="649">
        <f>PRODUCT(C1412:K1412)</f>
        <v>60.15</v>
      </c>
    </row>
    <row r="1413" spans="2:12" ht="15">
      <c r="B1413" s="734"/>
      <c r="C1413" s="19"/>
      <c r="D1413" s="19"/>
      <c r="E1413" s="59"/>
      <c r="F1413" s="47"/>
      <c r="G1413" s="57"/>
      <c r="H1413" s="21"/>
      <c r="I1413" s="55"/>
      <c r="J1413" s="56"/>
      <c r="K1413" s="17"/>
      <c r="L1413" s="649"/>
    </row>
    <row r="1414" spans="2:12" ht="15">
      <c r="B1414" s="734" t="s">
        <v>500</v>
      </c>
      <c r="C1414" s="19"/>
      <c r="D1414" s="19"/>
      <c r="E1414" s="59"/>
      <c r="F1414" s="47"/>
      <c r="G1414" s="57"/>
      <c r="H1414" s="21"/>
      <c r="I1414" s="55"/>
      <c r="J1414" s="56"/>
      <c r="K1414" s="17"/>
      <c r="L1414" s="649"/>
    </row>
    <row r="1415" spans="2:12" ht="15.75">
      <c r="B1415" s="715" t="s">
        <v>598</v>
      </c>
      <c r="C1415" s="19"/>
      <c r="D1415" s="19">
        <v>1.2</v>
      </c>
      <c r="E1415" s="59">
        <v>0.3</v>
      </c>
      <c r="F1415" s="59">
        <v>0.8</v>
      </c>
      <c r="G1415" s="57"/>
      <c r="H1415" s="21"/>
      <c r="I1415" s="65">
        <f>ROUND(360.8/2.5,0)</f>
        <v>144</v>
      </c>
      <c r="J1415" s="56"/>
      <c r="K1415" s="17"/>
      <c r="L1415" s="649">
        <f t="shared" ref="L1415:L1417" si="94">PRODUCT(C1415:K1415)</f>
        <v>41.471999999999994</v>
      </c>
    </row>
    <row r="1416" spans="2:12" ht="15.75">
      <c r="B1416" s="715" t="s">
        <v>807</v>
      </c>
      <c r="C1416" s="19"/>
      <c r="D1416" s="20">
        <v>1.2</v>
      </c>
      <c r="E1416" s="59">
        <v>0.3</v>
      </c>
      <c r="F1416" s="59">
        <v>0.8</v>
      </c>
      <c r="G1416" s="57"/>
      <c r="H1416" s="21"/>
      <c r="I1416" s="47">
        <f>ROUND(247/2.5,0)+1</f>
        <v>100</v>
      </c>
      <c r="J1416" s="56"/>
      <c r="K1416" s="17"/>
      <c r="L1416" s="649">
        <f t="shared" si="94"/>
        <v>28.799999999999997</v>
      </c>
    </row>
    <row r="1417" spans="2:12" ht="15.75">
      <c r="B1417" s="715" t="s">
        <v>782</v>
      </c>
      <c r="C1417" s="19"/>
      <c r="D1417" s="20">
        <v>1.2</v>
      </c>
      <c r="E1417" s="59">
        <v>0.3</v>
      </c>
      <c r="F1417" s="59">
        <v>0.8</v>
      </c>
      <c r="G1417" s="57"/>
      <c r="H1417" s="21"/>
      <c r="I1417" s="47">
        <f>ROUND(109/2.5,0)+1</f>
        <v>45</v>
      </c>
      <c r="J1417" s="56"/>
      <c r="K1417" s="17"/>
      <c r="L1417" s="649">
        <f t="shared" si="94"/>
        <v>12.959999999999999</v>
      </c>
    </row>
    <row r="1418" spans="2:12" ht="15">
      <c r="B1418" s="734"/>
      <c r="C1418" s="19"/>
      <c r="D1418" s="20"/>
      <c r="E1418" s="20"/>
      <c r="F1418" s="47"/>
      <c r="G1418" s="57"/>
      <c r="H1418" s="21"/>
      <c r="I1418" s="55"/>
      <c r="J1418" s="56"/>
      <c r="K1418" s="17"/>
      <c r="L1418" s="649"/>
    </row>
    <row r="1419" spans="2:12" ht="16.5">
      <c r="B1419" s="734"/>
      <c r="C1419" s="19"/>
      <c r="D1419" s="20"/>
      <c r="E1419" s="20"/>
      <c r="F1419" s="47"/>
      <c r="G1419" s="20"/>
      <c r="H1419" s="21"/>
      <c r="I1419" s="41"/>
      <c r="J1419" s="46"/>
      <c r="K1419" s="17"/>
      <c r="L1419" s="649"/>
    </row>
    <row r="1420" spans="2:12" ht="15.75">
      <c r="B1420" s="1002" t="s">
        <v>414</v>
      </c>
      <c r="C1420" s="1003"/>
      <c r="D1420" s="1003"/>
      <c r="E1420" s="1003"/>
      <c r="F1420" s="1003"/>
      <c r="G1420" s="1003"/>
      <c r="H1420" s="1003"/>
      <c r="I1420" s="1003"/>
      <c r="J1420" s="1003"/>
      <c r="K1420" s="1003"/>
      <c r="L1420" s="1004"/>
    </row>
    <row r="1421" spans="2:12">
      <c r="B1421" s="651"/>
      <c r="L1421" s="652"/>
    </row>
    <row r="1422" spans="2:12" ht="15.75">
      <c r="B1422" s="638" t="s">
        <v>398</v>
      </c>
      <c r="C1422" s="8">
        <v>6</v>
      </c>
      <c r="D1422" s="1008" t="s">
        <v>1030</v>
      </c>
      <c r="E1422" s="1009"/>
      <c r="F1422" s="1009"/>
      <c r="G1422" s="1009"/>
      <c r="H1422" s="1009"/>
      <c r="I1422" s="1009"/>
      <c r="J1422" s="1009"/>
      <c r="K1422" s="1009"/>
      <c r="L1422" s="1010"/>
    </row>
    <row r="1423" spans="2:12" ht="15">
      <c r="B1423" s="1005"/>
      <c r="C1423" s="1006"/>
      <c r="D1423" s="1006"/>
      <c r="E1423" s="1006"/>
      <c r="F1423" s="1006"/>
      <c r="G1423" s="1006"/>
      <c r="H1423" s="1006"/>
      <c r="I1423" s="1006"/>
      <c r="J1423" s="1006"/>
      <c r="K1423" s="1006"/>
      <c r="L1423" s="1007"/>
    </row>
    <row r="1424" spans="2:12" ht="78.75">
      <c r="B1424" s="642" t="s">
        <v>399</v>
      </c>
      <c r="C1424" s="11">
        <f>+'PROPUESTA ECONOMICA(Proponente)'!C83</f>
        <v>6.3</v>
      </c>
      <c r="D1424" s="12" t="str">
        <f>+VLOOKUP('MEMORIAS DE CANTIDADES'!C1424,'PROPUESTA ECONOMICA(Proponente)'!$C$21:$H$310,5,FALSE)</f>
        <v>RELLENO SELECCIONADO: Relleno compactado para área cimentaciones, con material seleccionado, zahorra al 95% del proctor estándar en cimentación. (suministro, humedecimiento y compactación)</v>
      </c>
      <c r="E1424" s="13"/>
      <c r="F1424" s="12"/>
      <c r="G1424" s="12"/>
      <c r="H1424" s="12"/>
      <c r="I1424" s="11" t="s">
        <v>400</v>
      </c>
      <c r="J1424" s="12" t="str">
        <f>+VLOOKUP('MEMORIAS DE CANTIDADES'!C1424,'PROPUESTA ECONOMICA(Proponente)'!$C$21:$H$310,6,FALSE)</f>
        <v>m3</v>
      </c>
      <c r="K1424" s="11" t="s">
        <v>401</v>
      </c>
      <c r="L1424" s="643">
        <f>SUM(L1425:L1437)</f>
        <v>287.41050000000001</v>
      </c>
    </row>
    <row r="1425" spans="2:12" ht="15">
      <c r="B1425" s="644"/>
      <c r="C1425" s="16"/>
      <c r="D1425" s="15"/>
      <c r="E1425" s="15"/>
      <c r="F1425" s="15"/>
      <c r="G1425" s="15"/>
      <c r="H1425" s="15"/>
      <c r="I1425" s="15"/>
      <c r="J1425" s="15"/>
      <c r="K1425" s="17"/>
      <c r="L1425" s="645"/>
    </row>
    <row r="1426" spans="2:12" ht="47.25">
      <c r="B1426" s="646" t="s">
        <v>402</v>
      </c>
      <c r="C1426" s="18" t="s">
        <v>403</v>
      </c>
      <c r="D1426" s="18" t="s">
        <v>404</v>
      </c>
      <c r="E1426" s="18" t="s">
        <v>405</v>
      </c>
      <c r="F1426" s="18" t="s">
        <v>406</v>
      </c>
      <c r="G1426" s="18" t="s">
        <v>407</v>
      </c>
      <c r="H1426" s="5" t="s">
        <v>408</v>
      </c>
      <c r="I1426" s="18" t="s">
        <v>409</v>
      </c>
      <c r="J1426" s="5" t="s">
        <v>410</v>
      </c>
      <c r="K1426" s="5" t="s">
        <v>411</v>
      </c>
      <c r="L1426" s="647" t="s">
        <v>412</v>
      </c>
    </row>
    <row r="1427" spans="2:12" ht="15.75">
      <c r="B1427" s="734" t="s">
        <v>500</v>
      </c>
      <c r="C1427" s="19"/>
      <c r="D1427" s="19"/>
      <c r="E1427" s="48"/>
      <c r="F1427" s="47"/>
      <c r="G1427" s="57"/>
      <c r="H1427" s="21"/>
      <c r="I1427" s="55"/>
      <c r="J1427" s="56"/>
      <c r="K1427" s="5"/>
      <c r="L1427" s="649">
        <f t="shared" ref="L1427" si="95">PRODUCT(C1427:K1427)</f>
        <v>0</v>
      </c>
    </row>
    <row r="1428" spans="2:12" ht="15.75">
      <c r="B1428" s="715" t="s">
        <v>734</v>
      </c>
      <c r="C1428" s="39"/>
      <c r="D1428" s="39"/>
      <c r="E1428" s="39"/>
      <c r="F1428" s="39"/>
      <c r="G1428" s="39"/>
      <c r="H1428" s="39"/>
      <c r="I1428" s="39"/>
      <c r="J1428" s="39"/>
      <c r="K1428" s="39"/>
      <c r="L1428" s="649"/>
    </row>
    <row r="1429" spans="2:12" ht="30">
      <c r="B1429" s="734" t="s">
        <v>501</v>
      </c>
      <c r="C1429" s="61" t="s">
        <v>867</v>
      </c>
      <c r="D1429" s="61">
        <f>0.25+0.2</f>
        <v>0.45</v>
      </c>
      <c r="E1429" s="59"/>
      <c r="F1429" s="360">
        <v>2.21</v>
      </c>
      <c r="G1429" s="63"/>
      <c r="H1429" s="64"/>
      <c r="I1429" s="65">
        <f>ROUND(360.8/2.5,0)</f>
        <v>144</v>
      </c>
      <c r="J1429" s="66"/>
      <c r="K1429" s="52"/>
      <c r="L1429" s="649">
        <f>PRODUCT(C1429:K1429)</f>
        <v>143.208</v>
      </c>
    </row>
    <row r="1430" spans="2:12" ht="15.75">
      <c r="B1430" s="734"/>
      <c r="C1430" s="61"/>
      <c r="D1430" s="61"/>
      <c r="E1430" s="59"/>
      <c r="F1430" s="62"/>
      <c r="G1430" s="63"/>
      <c r="H1430" s="64"/>
      <c r="I1430" s="65"/>
      <c r="J1430" s="66"/>
      <c r="K1430" s="52"/>
      <c r="L1430" s="649"/>
    </row>
    <row r="1431" spans="2:12" ht="15.75">
      <c r="B1431" s="734"/>
      <c r="C1431" s="19"/>
      <c r="D1431" s="19"/>
      <c r="E1431" s="48"/>
      <c r="F1431" s="39"/>
      <c r="G1431" s="57"/>
      <c r="H1431" s="21"/>
      <c r="I1431" s="47"/>
      <c r="J1431" s="56"/>
      <c r="K1431" s="5"/>
      <c r="L1431" s="649"/>
    </row>
    <row r="1432" spans="2:12" ht="15.75">
      <c r="B1432" s="715" t="s">
        <v>807</v>
      </c>
      <c r="C1432" s="19"/>
      <c r="D1432" s="39"/>
      <c r="E1432" s="39"/>
      <c r="F1432" s="39"/>
      <c r="G1432" s="39"/>
      <c r="H1432" s="39"/>
      <c r="I1432" s="39"/>
      <c r="J1432" s="39"/>
      <c r="K1432" s="39"/>
      <c r="L1432" s="649"/>
    </row>
    <row r="1433" spans="2:12" ht="30">
      <c r="B1433" s="746" t="s">
        <v>501</v>
      </c>
      <c r="C1433" s="61" t="s">
        <v>867</v>
      </c>
      <c r="D1433" s="20">
        <f>0.25+0.2</f>
        <v>0.45</v>
      </c>
      <c r="E1433" s="20"/>
      <c r="F1433" s="47">
        <v>2.21</v>
      </c>
      <c r="G1433" s="19"/>
      <c r="H1433" s="21"/>
      <c r="I1433" s="47">
        <f>ROUND(247/2.5,0)+1</f>
        <v>100</v>
      </c>
      <c r="J1433" s="56"/>
      <c r="K1433" s="17"/>
      <c r="L1433" s="649">
        <f t="shared" ref="L1433" si="96">PRODUCT(C1433:K1433)</f>
        <v>99.45</v>
      </c>
    </row>
    <row r="1434" spans="2:12" ht="15">
      <c r="B1434" s="740"/>
      <c r="C1434" s="19"/>
      <c r="D1434" s="20"/>
      <c r="E1434" s="20"/>
      <c r="F1434" s="47"/>
      <c r="G1434" s="57"/>
      <c r="H1434" s="21"/>
      <c r="I1434" s="55"/>
      <c r="J1434" s="56"/>
      <c r="K1434" s="17"/>
      <c r="L1434" s="649"/>
    </row>
    <row r="1435" spans="2:12" ht="30">
      <c r="B1435" s="739" t="s">
        <v>782</v>
      </c>
      <c r="C1435" s="61" t="s">
        <v>867</v>
      </c>
      <c r="D1435" s="20">
        <f>0.25+0.2</f>
        <v>0.45</v>
      </c>
      <c r="E1435" s="20"/>
      <c r="F1435" s="47">
        <v>2.21</v>
      </c>
      <c r="G1435" s="19"/>
      <c r="H1435" s="21"/>
      <c r="I1435" s="47">
        <f>ROUND(109/2.5,0)+1</f>
        <v>45</v>
      </c>
      <c r="J1435" s="56"/>
      <c r="K1435" s="17"/>
      <c r="L1435" s="649">
        <f t="shared" ref="L1435" si="97">PRODUCT(C1435:K1435)</f>
        <v>44.752500000000005</v>
      </c>
    </row>
    <row r="1436" spans="2:12" ht="16.5">
      <c r="B1436" s="731"/>
      <c r="C1436" s="19"/>
      <c r="D1436" s="20"/>
      <c r="E1436" s="20"/>
      <c r="F1436" s="47"/>
      <c r="G1436" s="20"/>
      <c r="H1436" s="21"/>
      <c r="I1436" s="41"/>
      <c r="J1436" s="46"/>
      <c r="K1436" s="17"/>
      <c r="L1436" s="649"/>
    </row>
    <row r="1437" spans="2:12" ht="15.75">
      <c r="B1437" s="1002" t="s">
        <v>414</v>
      </c>
      <c r="C1437" s="1003"/>
      <c r="D1437" s="1003"/>
      <c r="E1437" s="1003"/>
      <c r="F1437" s="1003"/>
      <c r="G1437" s="1003"/>
      <c r="H1437" s="1003"/>
      <c r="I1437" s="1003"/>
      <c r="J1437" s="1003"/>
      <c r="K1437" s="1003"/>
      <c r="L1437" s="1004"/>
    </row>
    <row r="1438" spans="2:12">
      <c r="B1438" s="651"/>
      <c r="L1438" s="652"/>
    </row>
    <row r="1439" spans="2:12" ht="15.75">
      <c r="B1439" s="638" t="s">
        <v>398</v>
      </c>
      <c r="C1439" s="8">
        <v>3</v>
      </c>
      <c r="D1439" s="1008" t="s">
        <v>1028</v>
      </c>
      <c r="E1439" s="1009"/>
      <c r="F1439" s="1009"/>
      <c r="G1439" s="1009"/>
      <c r="H1439" s="1009"/>
      <c r="I1439" s="1009"/>
      <c r="J1439" s="1009"/>
      <c r="K1439" s="1009"/>
      <c r="L1439" s="1010"/>
    </row>
    <row r="1440" spans="2:12" ht="15">
      <c r="B1440" s="1005"/>
      <c r="C1440" s="1006"/>
      <c r="D1440" s="1006"/>
      <c r="E1440" s="1006"/>
      <c r="F1440" s="1006"/>
      <c r="G1440" s="1006"/>
      <c r="H1440" s="1006"/>
      <c r="I1440" s="1006"/>
      <c r="J1440" s="1006"/>
      <c r="K1440" s="1006"/>
      <c r="L1440" s="1007"/>
    </row>
    <row r="1441" spans="2:12" ht="31.5">
      <c r="B1441" s="642" t="s">
        <v>399</v>
      </c>
      <c r="C1441" s="11">
        <f>+'PROPUESTA ECONOMICA(Proponente)'!C84</f>
        <v>6.4</v>
      </c>
      <c r="D1441" s="12" t="str">
        <f>+VLOOKUP('MEMORIAS DE CANTIDADES'!C1441,'PROPUESTA ECONOMICA(Proponente)'!$C$21:$H$310,5,FALSE)</f>
        <v>Solado de limpieza- concreto de 2000 psi, incluye suministro e instalación).</v>
      </c>
      <c r="E1441" s="13"/>
      <c r="F1441" s="12"/>
      <c r="G1441" s="12"/>
      <c r="H1441" s="12"/>
      <c r="I1441" s="11" t="s">
        <v>400</v>
      </c>
      <c r="J1441" s="12" t="str">
        <f>+VLOOKUP('MEMORIAS DE CANTIDADES'!C1441,'PROPUESTA ECONOMICA(Proponente)'!$C$21:$H$310,6,FALSE)</f>
        <v>m2</v>
      </c>
      <c r="K1441" s="11" t="s">
        <v>401</v>
      </c>
      <c r="L1441" s="643">
        <f>SUM(L1442:L1455)</f>
        <v>223.54149999999998</v>
      </c>
    </row>
    <row r="1442" spans="2:12" ht="15">
      <c r="B1442" s="644"/>
      <c r="C1442" s="16"/>
      <c r="D1442" s="15"/>
      <c r="E1442" s="15"/>
      <c r="F1442" s="15"/>
      <c r="G1442" s="15"/>
      <c r="H1442" s="15"/>
      <c r="I1442" s="15"/>
      <c r="J1442" s="15"/>
      <c r="K1442" s="17"/>
      <c r="L1442" s="645"/>
    </row>
    <row r="1443" spans="2:12" ht="47.25">
      <c r="B1443" s="646" t="s">
        <v>402</v>
      </c>
      <c r="C1443" s="18" t="s">
        <v>403</v>
      </c>
      <c r="D1443" s="18" t="s">
        <v>404</v>
      </c>
      <c r="E1443" s="18" t="s">
        <v>405</v>
      </c>
      <c r="F1443" s="18" t="s">
        <v>406</v>
      </c>
      <c r="G1443" s="18" t="s">
        <v>407</v>
      </c>
      <c r="H1443" s="5" t="s">
        <v>408</v>
      </c>
      <c r="I1443" s="18" t="s">
        <v>409</v>
      </c>
      <c r="J1443" s="5" t="s">
        <v>410</v>
      </c>
      <c r="K1443" s="5" t="s">
        <v>411</v>
      </c>
      <c r="L1443" s="647" t="s">
        <v>412</v>
      </c>
    </row>
    <row r="1444" spans="2:12" ht="15.75">
      <c r="B1444" s="734"/>
      <c r="C1444" s="19"/>
      <c r="D1444" s="19"/>
      <c r="E1444" s="48"/>
      <c r="F1444" s="47"/>
      <c r="G1444" s="57"/>
      <c r="H1444" s="21"/>
      <c r="I1444" s="55"/>
      <c r="J1444" s="56"/>
      <c r="K1444" s="5"/>
      <c r="L1444" s="761"/>
    </row>
    <row r="1445" spans="2:12" ht="15.75">
      <c r="B1445" s="734" t="s">
        <v>500</v>
      </c>
      <c r="C1445" s="19"/>
      <c r="D1445" s="19"/>
      <c r="E1445" s="48"/>
      <c r="F1445" s="47"/>
      <c r="G1445" s="57"/>
      <c r="H1445" s="21"/>
      <c r="I1445" s="55"/>
      <c r="J1445" s="56"/>
      <c r="K1445" s="5"/>
      <c r="L1445" s="761"/>
    </row>
    <row r="1446" spans="2:12" ht="15.75">
      <c r="B1446" s="715" t="s">
        <v>734</v>
      </c>
      <c r="C1446" s="39"/>
      <c r="D1446" s="39"/>
      <c r="E1446" s="39"/>
      <c r="F1446" s="39"/>
      <c r="G1446" s="39"/>
      <c r="H1446" s="39"/>
      <c r="I1446" s="39"/>
      <c r="J1446" s="39"/>
      <c r="K1446" s="39"/>
      <c r="L1446" s="738"/>
    </row>
    <row r="1447" spans="2:12" ht="30">
      <c r="B1447" s="734" t="s">
        <v>501</v>
      </c>
      <c r="C1447" s="61" t="s">
        <v>867</v>
      </c>
      <c r="D1447" s="61">
        <f>0.25+0.1</f>
        <v>0.35</v>
      </c>
      <c r="E1447" s="59"/>
      <c r="F1447" s="62">
        <v>2.21</v>
      </c>
      <c r="G1447" s="63"/>
      <c r="H1447" s="64"/>
      <c r="I1447" s="65">
        <f>ROUND(360.8/2.5,0)</f>
        <v>144</v>
      </c>
      <c r="J1447" s="66"/>
      <c r="K1447" s="52"/>
      <c r="L1447" s="649">
        <f>PRODUCT(C1447:K1447)</f>
        <v>111.384</v>
      </c>
    </row>
    <row r="1448" spans="2:12" ht="15.75">
      <c r="B1448" s="734"/>
      <c r="C1448" s="61"/>
      <c r="D1448" s="61"/>
      <c r="E1448" s="59"/>
      <c r="F1448" s="62"/>
      <c r="G1448" s="63"/>
      <c r="H1448" s="64"/>
      <c r="I1448" s="65"/>
      <c r="J1448" s="66"/>
      <c r="K1448" s="52"/>
      <c r="L1448" s="649"/>
    </row>
    <row r="1449" spans="2:12" ht="15.75">
      <c r="B1449" s="734"/>
      <c r="C1449" s="19"/>
      <c r="D1449" s="19"/>
      <c r="E1449" s="48"/>
      <c r="F1449" s="39"/>
      <c r="G1449" s="57"/>
      <c r="H1449" s="21"/>
      <c r="I1449" s="47"/>
      <c r="J1449" s="56"/>
      <c r="K1449" s="5"/>
      <c r="L1449" s="649"/>
    </row>
    <row r="1450" spans="2:12" ht="15.75">
      <c r="B1450" s="715" t="s">
        <v>807</v>
      </c>
      <c r="C1450" s="19"/>
      <c r="D1450" s="39"/>
      <c r="E1450" s="39"/>
      <c r="F1450" s="39"/>
      <c r="G1450" s="39"/>
      <c r="H1450" s="39"/>
      <c r="I1450" s="39"/>
      <c r="J1450" s="39"/>
      <c r="K1450" s="39"/>
      <c r="L1450" s="649"/>
    </row>
    <row r="1451" spans="2:12" ht="30">
      <c r="B1451" s="746" t="s">
        <v>501</v>
      </c>
      <c r="C1451" s="61" t="s">
        <v>867</v>
      </c>
      <c r="D1451" s="20">
        <f>0.25+0.1</f>
        <v>0.35</v>
      </c>
      <c r="E1451" s="20"/>
      <c r="F1451" s="47">
        <v>2.21</v>
      </c>
      <c r="G1451" s="19"/>
      <c r="H1451" s="21"/>
      <c r="I1451" s="47">
        <f>ROUND(247/2.5,0)+1</f>
        <v>100</v>
      </c>
      <c r="J1451" s="56"/>
      <c r="K1451" s="17"/>
      <c r="L1451" s="649">
        <f t="shared" ref="L1451" si="98">PRODUCT(C1451:K1451)</f>
        <v>77.349999999999994</v>
      </c>
    </row>
    <row r="1452" spans="2:12" ht="15">
      <c r="B1452" s="740"/>
      <c r="C1452" s="19"/>
      <c r="D1452" s="20"/>
      <c r="E1452" s="20"/>
      <c r="F1452" s="47"/>
      <c r="G1452" s="57"/>
      <c r="H1452" s="21"/>
      <c r="I1452" s="55"/>
      <c r="J1452" s="56"/>
      <c r="K1452" s="17"/>
      <c r="L1452" s="649"/>
    </row>
    <row r="1453" spans="2:12" ht="15.75">
      <c r="B1453" s="715" t="s">
        <v>782</v>
      </c>
      <c r="C1453" s="19"/>
      <c r="D1453" s="39"/>
      <c r="E1453" s="39"/>
      <c r="F1453" s="39"/>
      <c r="G1453" s="39"/>
      <c r="H1453" s="39"/>
      <c r="I1453" s="39"/>
      <c r="J1453" s="39"/>
      <c r="K1453" s="39"/>
      <c r="L1453" s="649"/>
    </row>
    <row r="1454" spans="2:12" ht="30">
      <c r="B1454" s="746" t="s">
        <v>501</v>
      </c>
      <c r="C1454" s="61" t="s">
        <v>867</v>
      </c>
      <c r="D1454" s="20">
        <f>0.25+0.1</f>
        <v>0.35</v>
      </c>
      <c r="E1454" s="20"/>
      <c r="F1454" s="47">
        <v>2.21</v>
      </c>
      <c r="G1454" s="19"/>
      <c r="H1454" s="21"/>
      <c r="I1454" s="47">
        <f>ROUND(109/2.5,0)+1</f>
        <v>45</v>
      </c>
      <c r="J1454" s="56"/>
      <c r="K1454" s="17"/>
      <c r="L1454" s="649">
        <f t="shared" ref="L1454" si="99">PRODUCT(C1454:K1454)</f>
        <v>34.807499999999997</v>
      </c>
    </row>
    <row r="1455" spans="2:12" ht="15.75">
      <c r="B1455" s="1002" t="s">
        <v>414</v>
      </c>
      <c r="C1455" s="1003"/>
      <c r="D1455" s="1003"/>
      <c r="E1455" s="1003"/>
      <c r="F1455" s="1003"/>
      <c r="G1455" s="1003"/>
      <c r="H1455" s="1003"/>
      <c r="I1455" s="1003"/>
      <c r="J1455" s="1003"/>
      <c r="K1455" s="1003"/>
      <c r="L1455" s="1004"/>
    </row>
    <row r="1456" spans="2:12">
      <c r="B1456" s="651"/>
      <c r="L1456" s="652"/>
    </row>
    <row r="1457" spans="2:12" ht="15.75">
      <c r="B1457" s="638" t="s">
        <v>398</v>
      </c>
      <c r="C1457" s="8">
        <v>6</v>
      </c>
      <c r="D1457" s="1008" t="s">
        <v>1030</v>
      </c>
      <c r="E1457" s="1009"/>
      <c r="F1457" s="1009"/>
      <c r="G1457" s="1009"/>
      <c r="H1457" s="1009"/>
      <c r="I1457" s="1009"/>
      <c r="J1457" s="1009"/>
      <c r="K1457" s="1009"/>
      <c r="L1457" s="1010"/>
    </row>
    <row r="1458" spans="2:12" ht="15">
      <c r="B1458" s="1005"/>
      <c r="C1458" s="1006"/>
      <c r="D1458" s="1006"/>
      <c r="E1458" s="1006"/>
      <c r="F1458" s="1006"/>
      <c r="G1458" s="1006"/>
      <c r="H1458" s="1006"/>
      <c r="I1458" s="1006"/>
      <c r="J1458" s="1006"/>
      <c r="K1458" s="1006"/>
      <c r="L1458" s="1007"/>
    </row>
    <row r="1459" spans="2:12" ht="47.25">
      <c r="B1459" s="642" t="s">
        <v>399</v>
      </c>
      <c r="C1459" s="11">
        <f>+'PROPUESTA ECONOMICA(Proponente)'!C85</f>
        <v>6.5</v>
      </c>
      <c r="D1459" s="12" t="str">
        <f>+VLOOKUP('MEMORIAS DE CANTIDADES'!C1459,'PROPUESTA ECONOMICA(Proponente)'!$C$21:$H$310,5,FALSE)</f>
        <v>CONCRETO VIGAS  CIMIENTOS, ZAPATAS Y AMARRES: (incluye suministro e instalación, Concreto 4000 PSI).</v>
      </c>
      <c r="E1459" s="13"/>
      <c r="F1459" s="12"/>
      <c r="G1459" s="12"/>
      <c r="H1459" s="12"/>
      <c r="I1459" s="11" t="s">
        <v>400</v>
      </c>
      <c r="J1459" s="12" t="str">
        <f>+VLOOKUP('MEMORIAS DE CANTIDADES'!C1459,'PROPUESTA ECONOMICA(Proponente)'!$C$21:$H$310,6,FALSE)</f>
        <v>m3</v>
      </c>
      <c r="K1459" s="11" t="s">
        <v>401</v>
      </c>
      <c r="L1459" s="643">
        <f>SUM(L1460:L1478)</f>
        <v>192.18</v>
      </c>
    </row>
    <row r="1460" spans="2:12" ht="15">
      <c r="B1460" s="644"/>
      <c r="C1460" s="16"/>
      <c r="D1460" s="15"/>
      <c r="E1460" s="15"/>
      <c r="F1460" s="15"/>
      <c r="G1460" s="15"/>
      <c r="H1460" s="15"/>
      <c r="I1460" s="15"/>
      <c r="J1460" s="15"/>
      <c r="K1460" s="17"/>
      <c r="L1460" s="645"/>
    </row>
    <row r="1461" spans="2:12" ht="47.25">
      <c r="B1461" s="646" t="s">
        <v>402</v>
      </c>
      <c r="C1461" s="18" t="s">
        <v>403</v>
      </c>
      <c r="D1461" s="18" t="s">
        <v>404</v>
      </c>
      <c r="E1461" s="18" t="s">
        <v>405</v>
      </c>
      <c r="F1461" s="18" t="s">
        <v>406</v>
      </c>
      <c r="G1461" s="18" t="s">
        <v>407</v>
      </c>
      <c r="H1461" s="5" t="s">
        <v>408</v>
      </c>
      <c r="I1461" s="18" t="s">
        <v>409</v>
      </c>
      <c r="J1461" s="5" t="s">
        <v>410</v>
      </c>
      <c r="K1461" s="5" t="s">
        <v>411</v>
      </c>
      <c r="L1461" s="647" t="s">
        <v>412</v>
      </c>
    </row>
    <row r="1462" spans="2:12" ht="15.75">
      <c r="B1462" s="734"/>
      <c r="C1462" s="19"/>
      <c r="D1462" s="20"/>
      <c r="E1462" s="59"/>
      <c r="F1462" s="47"/>
      <c r="G1462" s="19"/>
      <c r="H1462" s="21"/>
      <c r="I1462" s="55"/>
      <c r="J1462" s="56"/>
      <c r="K1462" s="5"/>
      <c r="L1462" s="649"/>
    </row>
    <row r="1463" spans="2:12" ht="30">
      <c r="B1463" s="734" t="s">
        <v>499</v>
      </c>
      <c r="C1463" s="19"/>
      <c r="D1463" s="19">
        <v>0.5</v>
      </c>
      <c r="E1463" s="48">
        <v>0.25</v>
      </c>
      <c r="F1463" s="60">
        <f>133+201+58+9</f>
        <v>401</v>
      </c>
      <c r="G1463" s="57"/>
      <c r="H1463" s="21"/>
      <c r="I1463" s="55"/>
      <c r="J1463" s="56"/>
      <c r="K1463" s="5"/>
      <c r="L1463" s="649">
        <f t="shared" ref="L1463" si="100">PRODUCT(C1463:K1463)</f>
        <v>50.125</v>
      </c>
    </row>
    <row r="1464" spans="2:12" ht="15.75">
      <c r="B1464" s="734"/>
      <c r="C1464" s="19"/>
      <c r="D1464" s="19"/>
      <c r="E1464" s="48"/>
      <c r="F1464" s="47"/>
      <c r="G1464" s="57"/>
      <c r="H1464" s="21"/>
      <c r="I1464" s="55"/>
      <c r="J1464" s="56"/>
      <c r="K1464" s="5"/>
      <c r="L1464" s="761"/>
    </row>
    <row r="1465" spans="2:12" ht="15.75">
      <c r="B1465" s="734" t="s">
        <v>500</v>
      </c>
      <c r="C1465" s="19"/>
      <c r="D1465" s="19"/>
      <c r="E1465" s="48"/>
      <c r="F1465" s="47"/>
      <c r="G1465" s="57"/>
      <c r="H1465" s="21"/>
      <c r="I1465" s="55"/>
      <c r="J1465" s="56"/>
      <c r="K1465" s="5"/>
      <c r="L1465" s="761"/>
    </row>
    <row r="1466" spans="2:12" ht="15.75">
      <c r="B1466" s="715" t="s">
        <v>734</v>
      </c>
      <c r="C1466" s="39"/>
      <c r="D1466" s="39"/>
      <c r="E1466" s="39"/>
      <c r="F1466" s="39"/>
      <c r="G1466" s="39"/>
      <c r="H1466" s="39"/>
      <c r="I1466" s="39"/>
      <c r="J1466" s="39"/>
      <c r="K1466" s="39"/>
      <c r="L1466" s="738"/>
    </row>
    <row r="1467" spans="2:12" ht="15.75">
      <c r="B1467" s="734" t="s">
        <v>435</v>
      </c>
      <c r="C1467" s="61"/>
      <c r="D1467" s="61">
        <v>1.2</v>
      </c>
      <c r="E1467" s="59">
        <v>0.25</v>
      </c>
      <c r="F1467" s="59">
        <v>0.8</v>
      </c>
      <c r="G1467" s="63"/>
      <c r="H1467" s="64"/>
      <c r="I1467" s="65">
        <f>ROUND(360.8/2.5,0)</f>
        <v>144</v>
      </c>
      <c r="J1467" s="66"/>
      <c r="K1467" s="52"/>
      <c r="L1467" s="649">
        <f>PRODUCT(C1467:K1467)</f>
        <v>34.56</v>
      </c>
    </row>
    <row r="1468" spans="2:12" ht="15.75">
      <c r="B1468" s="734" t="s">
        <v>501</v>
      </c>
      <c r="C1468" s="61"/>
      <c r="D1468" s="61">
        <v>0.25</v>
      </c>
      <c r="E1468" s="59">
        <v>0.35</v>
      </c>
      <c r="F1468" s="59">
        <v>360.8</v>
      </c>
      <c r="G1468" s="63"/>
      <c r="H1468" s="64"/>
      <c r="I1468" s="65"/>
      <c r="J1468" s="66"/>
      <c r="K1468" s="52"/>
      <c r="L1468" s="649">
        <f>PRODUCT(C1468:K1468)</f>
        <v>31.57</v>
      </c>
    </row>
    <row r="1469" spans="2:12" ht="15.75">
      <c r="B1469" s="734"/>
      <c r="C1469" s="61"/>
      <c r="D1469" s="61"/>
      <c r="E1469" s="59"/>
      <c r="F1469" s="59"/>
      <c r="G1469" s="63"/>
      <c r="H1469" s="64"/>
      <c r="I1469" s="65"/>
      <c r="J1469" s="66"/>
      <c r="K1469" s="52"/>
      <c r="L1469" s="649"/>
    </row>
    <row r="1470" spans="2:12" ht="15.75">
      <c r="B1470" s="734"/>
      <c r="C1470" s="19"/>
      <c r="D1470" s="19"/>
      <c r="E1470" s="48"/>
      <c r="F1470" s="59"/>
      <c r="G1470" s="57"/>
      <c r="H1470" s="21"/>
      <c r="I1470" s="47"/>
      <c r="J1470" s="56"/>
      <c r="K1470" s="5"/>
      <c r="L1470" s="649"/>
    </row>
    <row r="1471" spans="2:12" ht="15.75">
      <c r="B1471" s="715" t="s">
        <v>807</v>
      </c>
      <c r="C1471" s="19"/>
      <c r="D1471" s="39"/>
      <c r="E1471" s="39"/>
      <c r="F1471" s="59"/>
      <c r="G1471" s="39"/>
      <c r="H1471" s="39"/>
      <c r="I1471" s="39"/>
      <c r="J1471" s="39"/>
      <c r="K1471" s="39"/>
      <c r="L1471" s="649"/>
    </row>
    <row r="1472" spans="2:12" ht="15.75">
      <c r="B1472" s="734" t="s">
        <v>435</v>
      </c>
      <c r="C1472" s="19"/>
      <c r="D1472" s="20">
        <v>1.2</v>
      </c>
      <c r="E1472" s="20">
        <v>0.25</v>
      </c>
      <c r="F1472" s="59">
        <v>0.8</v>
      </c>
      <c r="G1472" s="57"/>
      <c r="H1472" s="21"/>
      <c r="I1472" s="47">
        <f>ROUND(247/2.5,0)+1</f>
        <v>100</v>
      </c>
      <c r="J1472" s="56"/>
      <c r="K1472" s="5"/>
      <c r="L1472" s="649">
        <f t="shared" ref="L1472" si="101">PRODUCT(C1472:K1472)</f>
        <v>24</v>
      </c>
    </row>
    <row r="1473" spans="2:12" ht="15">
      <c r="B1473" s="746" t="s">
        <v>501</v>
      </c>
      <c r="C1473" s="19"/>
      <c r="D1473" s="20">
        <v>0.25</v>
      </c>
      <c r="E1473" s="20">
        <v>0.35</v>
      </c>
      <c r="F1473" s="59">
        <v>247</v>
      </c>
      <c r="G1473" s="19"/>
      <c r="H1473" s="21"/>
      <c r="I1473" s="47"/>
      <c r="J1473" s="56"/>
      <c r="K1473" s="17"/>
      <c r="L1473" s="649">
        <f>PRODUCT(C1473:K1473)</f>
        <v>21.612499999999997</v>
      </c>
    </row>
    <row r="1474" spans="2:12" ht="15">
      <c r="B1474" s="746"/>
      <c r="C1474" s="19"/>
      <c r="D1474" s="20"/>
      <c r="E1474" s="20"/>
      <c r="F1474" s="59"/>
      <c r="G1474" s="19"/>
      <c r="H1474" s="21"/>
      <c r="I1474" s="47"/>
      <c r="J1474" s="56"/>
      <c r="K1474" s="17"/>
      <c r="L1474" s="649"/>
    </row>
    <row r="1475" spans="2:12" ht="15.75">
      <c r="B1475" s="715" t="s">
        <v>782</v>
      </c>
      <c r="C1475" s="19"/>
      <c r="D1475" s="39"/>
      <c r="E1475" s="39"/>
      <c r="F1475" s="59"/>
      <c r="G1475" s="39"/>
      <c r="H1475" s="39"/>
      <c r="I1475" s="39"/>
      <c r="J1475" s="39"/>
      <c r="K1475" s="39"/>
      <c r="L1475" s="649"/>
    </row>
    <row r="1476" spans="2:12" ht="15.75">
      <c r="B1476" s="734" t="s">
        <v>435</v>
      </c>
      <c r="C1476" s="19"/>
      <c r="D1476" s="20">
        <v>1.2</v>
      </c>
      <c r="E1476" s="20">
        <v>0.25</v>
      </c>
      <c r="F1476" s="59">
        <v>0.8</v>
      </c>
      <c r="G1476" s="57"/>
      <c r="H1476" s="21"/>
      <c r="I1476" s="47">
        <f>ROUND(109/2.5,0)+1</f>
        <v>45</v>
      </c>
      <c r="J1476" s="56"/>
      <c r="K1476" s="5"/>
      <c r="L1476" s="649">
        <f t="shared" ref="L1476" si="102">PRODUCT(C1476:K1476)</f>
        <v>10.799999999999999</v>
      </c>
    </row>
    <row r="1477" spans="2:12" ht="15">
      <c r="B1477" s="746" t="s">
        <v>501</v>
      </c>
      <c r="C1477" s="19"/>
      <c r="D1477" s="20">
        <v>0.25</v>
      </c>
      <c r="E1477" s="20">
        <v>0.35</v>
      </c>
      <c r="F1477" s="59">
        <f>163+60</f>
        <v>223</v>
      </c>
      <c r="G1477" s="19"/>
      <c r="H1477" s="21"/>
      <c r="I1477" s="47"/>
      <c r="J1477" s="56"/>
      <c r="K1477" s="17"/>
      <c r="L1477" s="649">
        <f>PRODUCT(C1477:K1477)</f>
        <v>19.512499999999999</v>
      </c>
    </row>
    <row r="1478" spans="2:12" ht="15.75">
      <c r="B1478" s="1002" t="s">
        <v>414</v>
      </c>
      <c r="C1478" s="1003"/>
      <c r="D1478" s="1003"/>
      <c r="E1478" s="1003"/>
      <c r="F1478" s="1003"/>
      <c r="G1478" s="1003"/>
      <c r="H1478" s="1003"/>
      <c r="I1478" s="1003"/>
      <c r="J1478" s="1003"/>
      <c r="K1478" s="1003"/>
      <c r="L1478" s="1004"/>
    </row>
    <row r="1479" spans="2:12">
      <c r="B1479" s="651"/>
      <c r="L1479" s="652"/>
    </row>
    <row r="1480" spans="2:12" ht="15.75">
      <c r="B1480" s="638" t="s">
        <v>398</v>
      </c>
      <c r="C1480" s="8">
        <v>6</v>
      </c>
      <c r="D1480" s="1008" t="s">
        <v>1030</v>
      </c>
      <c r="E1480" s="1009"/>
      <c r="F1480" s="1009"/>
      <c r="G1480" s="1009"/>
      <c r="H1480" s="1009"/>
      <c r="I1480" s="1009"/>
      <c r="J1480" s="1009"/>
      <c r="K1480" s="1009"/>
      <c r="L1480" s="1010"/>
    </row>
    <row r="1481" spans="2:12" ht="15">
      <c r="B1481" s="1005"/>
      <c r="C1481" s="1006"/>
      <c r="D1481" s="1006"/>
      <c r="E1481" s="1006"/>
      <c r="F1481" s="1006"/>
      <c r="G1481" s="1006"/>
      <c r="H1481" s="1006"/>
      <c r="I1481" s="1006"/>
      <c r="J1481" s="1006"/>
      <c r="K1481" s="1006"/>
      <c r="L1481" s="1007"/>
    </row>
    <row r="1482" spans="2:12" ht="31.5">
      <c r="B1482" s="733" t="s">
        <v>399</v>
      </c>
      <c r="C1482" s="11">
        <f>+'PROPUESTA ECONOMICA(Proponente)'!C86</f>
        <v>6.6</v>
      </c>
      <c r="D1482" s="12" t="str">
        <f>+VLOOKUP('MEMORIAS DE CANTIDADES'!C1482,'PROPUESTA ECONOMICA(Proponente)'!$C$21:$H$310,5,FALSE)</f>
        <v>Suministro y levante MURO DE BLOCK No6 HUECO abujardado con  mortero 1:4.</v>
      </c>
      <c r="E1482" s="13"/>
      <c r="F1482" s="12"/>
      <c r="G1482" s="12"/>
      <c r="H1482" s="12"/>
      <c r="I1482" s="11" t="s">
        <v>400</v>
      </c>
      <c r="J1482" s="12" t="str">
        <f>+VLOOKUP('MEMORIAS DE CANTIDADES'!C1482,'PROPUESTA ECONOMICA(Proponente)'!$C$21:$H$310,6,FALSE)</f>
        <v>m2</v>
      </c>
      <c r="K1482" s="11" t="s">
        <v>401</v>
      </c>
      <c r="L1482" s="643">
        <f>SUM(L1483:L1497)</f>
        <v>1005.0264</v>
      </c>
    </row>
    <row r="1483" spans="2:12" ht="15">
      <c r="B1483" s="644"/>
      <c r="C1483" s="16"/>
      <c r="D1483" s="15"/>
      <c r="E1483" s="15"/>
      <c r="F1483" s="15"/>
      <c r="G1483" s="15"/>
      <c r="H1483" s="15"/>
      <c r="I1483" s="15"/>
      <c r="J1483" s="15"/>
      <c r="K1483" s="17"/>
      <c r="L1483" s="645"/>
    </row>
    <row r="1484" spans="2:12" ht="47.25">
      <c r="B1484" s="646" t="s">
        <v>402</v>
      </c>
      <c r="C1484" s="18" t="s">
        <v>403</v>
      </c>
      <c r="D1484" s="18" t="s">
        <v>404</v>
      </c>
      <c r="E1484" s="18" t="s">
        <v>405</v>
      </c>
      <c r="F1484" s="18" t="s">
        <v>406</v>
      </c>
      <c r="G1484" s="18" t="s">
        <v>407</v>
      </c>
      <c r="H1484" s="5" t="s">
        <v>408</v>
      </c>
      <c r="I1484" s="18" t="s">
        <v>409</v>
      </c>
      <c r="J1484" s="5" t="s">
        <v>410</v>
      </c>
      <c r="K1484" s="5" t="s">
        <v>411</v>
      </c>
      <c r="L1484" s="647" t="s">
        <v>412</v>
      </c>
    </row>
    <row r="1485" spans="2:12" ht="15.75">
      <c r="B1485" s="734"/>
      <c r="C1485" s="19"/>
      <c r="D1485" s="20"/>
      <c r="E1485" s="59"/>
      <c r="F1485" s="47"/>
      <c r="G1485" s="19"/>
      <c r="H1485" s="21"/>
      <c r="I1485" s="55"/>
      <c r="J1485" s="56"/>
      <c r="K1485" s="5"/>
      <c r="L1485" s="649"/>
    </row>
    <row r="1486" spans="2:12" ht="15.75">
      <c r="B1486" s="734" t="s">
        <v>500</v>
      </c>
      <c r="C1486" s="19"/>
      <c r="D1486" s="19"/>
      <c r="E1486" s="48"/>
      <c r="F1486" s="47"/>
      <c r="G1486" s="57"/>
      <c r="H1486" s="21"/>
      <c r="I1486" s="55"/>
      <c r="J1486" s="56"/>
      <c r="K1486" s="5"/>
      <c r="L1486" s="761"/>
    </row>
    <row r="1487" spans="2:12" ht="15.75">
      <c r="B1487" s="715" t="s">
        <v>734</v>
      </c>
      <c r="C1487" s="39"/>
      <c r="D1487" s="39"/>
      <c r="E1487" s="39"/>
      <c r="F1487" s="39"/>
      <c r="G1487" s="39"/>
      <c r="H1487" s="39"/>
      <c r="I1487" s="39"/>
      <c r="J1487" s="39"/>
      <c r="K1487" s="39"/>
      <c r="L1487" s="738"/>
    </row>
    <row r="1488" spans="2:12" ht="15.75">
      <c r="B1488" s="734"/>
      <c r="C1488" s="61"/>
      <c r="D1488" s="61"/>
      <c r="E1488" s="59">
        <v>1.26</v>
      </c>
      <c r="F1488" s="59">
        <v>2.76</v>
      </c>
      <c r="G1488" s="63"/>
      <c r="H1488" s="64"/>
      <c r="I1488" s="65">
        <f>ROUND(360.8/2.5,0)</f>
        <v>144</v>
      </c>
      <c r="J1488" s="66"/>
      <c r="K1488" s="52"/>
      <c r="L1488" s="649">
        <f>PRODUCT(C1488:K1488)</f>
        <v>500.77439999999996</v>
      </c>
    </row>
    <row r="1489" spans="2:12" ht="15.75">
      <c r="B1489" s="734"/>
      <c r="C1489" s="19"/>
      <c r="D1489" s="19"/>
      <c r="E1489" s="48"/>
      <c r="F1489" s="59"/>
      <c r="G1489" s="57"/>
      <c r="H1489" s="21"/>
      <c r="I1489" s="47"/>
      <c r="J1489" s="56"/>
      <c r="K1489" s="5"/>
      <c r="L1489" s="649"/>
    </row>
    <row r="1490" spans="2:12" ht="15.75">
      <c r="B1490" s="715" t="s">
        <v>734</v>
      </c>
      <c r="C1490" s="19"/>
      <c r="D1490" s="39"/>
      <c r="E1490" s="137"/>
      <c r="F1490" s="59"/>
      <c r="G1490" s="39"/>
      <c r="H1490" s="39"/>
      <c r="I1490" s="39"/>
      <c r="J1490" s="39"/>
      <c r="K1490" s="39"/>
      <c r="L1490" s="649"/>
    </row>
    <row r="1491" spans="2:12" ht="15.75">
      <c r="B1491" s="734"/>
      <c r="C1491" s="19"/>
      <c r="D1491" s="20"/>
      <c r="E1491" s="19">
        <v>1.26</v>
      </c>
      <c r="F1491" s="59">
        <v>2.76</v>
      </c>
      <c r="G1491" s="57"/>
      <c r="H1491" s="21"/>
      <c r="I1491" s="47">
        <f>ROUND(247/2.5,0)+1</f>
        <v>100</v>
      </c>
      <c r="J1491" s="56"/>
      <c r="K1491" s="5"/>
      <c r="L1491" s="649">
        <f t="shared" ref="L1491" si="103">PRODUCT(C1491:K1491)</f>
        <v>347.76</v>
      </c>
    </row>
    <row r="1492" spans="2:12" ht="15.75">
      <c r="B1492" s="734"/>
      <c r="C1492" s="19"/>
      <c r="D1492" s="20"/>
      <c r="E1492" s="19"/>
      <c r="F1492" s="59"/>
      <c r="G1492" s="57"/>
      <c r="H1492" s="21"/>
      <c r="I1492" s="47"/>
      <c r="J1492" s="56"/>
      <c r="K1492" s="5"/>
      <c r="L1492" s="649"/>
    </row>
    <row r="1493" spans="2:12" ht="15.75">
      <c r="B1493" s="715" t="s">
        <v>782</v>
      </c>
      <c r="C1493" s="19"/>
      <c r="D1493" s="39"/>
      <c r="E1493" s="137"/>
      <c r="F1493" s="59"/>
      <c r="G1493" s="39"/>
      <c r="H1493" s="39"/>
      <c r="I1493" s="39"/>
      <c r="J1493" s="39"/>
      <c r="K1493" s="39"/>
      <c r="L1493" s="649"/>
    </row>
    <row r="1494" spans="2:12" ht="15.75">
      <c r="B1494" s="734"/>
      <c r="C1494" s="19"/>
      <c r="D1494" s="20"/>
      <c r="E1494" s="19">
        <v>1.26</v>
      </c>
      <c r="F1494" s="59">
        <v>2.76</v>
      </c>
      <c r="G1494" s="57"/>
      <c r="H1494" s="21"/>
      <c r="I1494" s="47">
        <f>ROUND(109/2.5,0)+1</f>
        <v>45</v>
      </c>
      <c r="J1494" s="56"/>
      <c r="K1494" s="5"/>
      <c r="L1494" s="649">
        <f t="shared" ref="L1494" si="104">PRODUCT(C1494:K1494)</f>
        <v>156.49199999999999</v>
      </c>
    </row>
    <row r="1495" spans="2:12" ht="15.75">
      <c r="B1495" s="734"/>
      <c r="C1495" s="19"/>
      <c r="D1495" s="20"/>
      <c r="E1495" s="20"/>
      <c r="F1495" s="59"/>
      <c r="G1495" s="57"/>
      <c r="H1495" s="21"/>
      <c r="I1495" s="47"/>
      <c r="J1495" s="56"/>
      <c r="K1495" s="5"/>
      <c r="L1495" s="649"/>
    </row>
    <row r="1496" spans="2:12" ht="16.5">
      <c r="B1496" s="731"/>
      <c r="C1496" s="19"/>
      <c r="D1496" s="20"/>
      <c r="E1496" s="20"/>
      <c r="F1496" s="47"/>
      <c r="G1496" s="20"/>
      <c r="H1496" s="21"/>
      <c r="I1496" s="41"/>
      <c r="J1496" s="46"/>
      <c r="K1496" s="17"/>
      <c r="L1496" s="649"/>
    </row>
    <row r="1497" spans="2:12" ht="15.75">
      <c r="B1497" s="1002" t="s">
        <v>414</v>
      </c>
      <c r="C1497" s="1003"/>
      <c r="D1497" s="1003"/>
      <c r="E1497" s="1003"/>
      <c r="F1497" s="1003"/>
      <c r="G1497" s="1003"/>
      <c r="H1497" s="1003"/>
      <c r="I1497" s="1003"/>
      <c r="J1497" s="1003"/>
      <c r="K1497" s="1003"/>
      <c r="L1497" s="1004"/>
    </row>
    <row r="1498" spans="2:12">
      <c r="B1498" s="651"/>
      <c r="L1498" s="652"/>
    </row>
    <row r="1499" spans="2:12" ht="15.75">
      <c r="B1499" s="638" t="s">
        <v>398</v>
      </c>
      <c r="C1499" s="8">
        <v>6</v>
      </c>
      <c r="D1499" s="1008" t="s">
        <v>1030</v>
      </c>
      <c r="E1499" s="1009"/>
      <c r="F1499" s="1009"/>
      <c r="G1499" s="1009"/>
      <c r="H1499" s="1009"/>
      <c r="I1499" s="1009"/>
      <c r="J1499" s="1009"/>
      <c r="K1499" s="1009"/>
      <c r="L1499" s="1010"/>
    </row>
    <row r="1500" spans="2:12" ht="15">
      <c r="B1500" s="1005"/>
      <c r="C1500" s="1006"/>
      <c r="D1500" s="1006"/>
      <c r="E1500" s="1006"/>
      <c r="F1500" s="1006"/>
      <c r="G1500" s="1006"/>
      <c r="H1500" s="1006"/>
      <c r="I1500" s="1006"/>
      <c r="J1500" s="1006"/>
      <c r="K1500" s="1006"/>
      <c r="L1500" s="1007"/>
    </row>
    <row r="1501" spans="2:12" ht="31.5">
      <c r="B1501" s="733" t="s">
        <v>399</v>
      </c>
      <c r="C1501" s="11">
        <f>+'PROPUESTA ECONOMICA(Proponente)'!C87</f>
        <v>6.7</v>
      </c>
      <c r="D1501" s="12" t="str">
        <f>+VLOOKUP('MEMORIAS DE CANTIDADES'!C1501,'PROPUESTA ECONOMICA(Proponente)'!$C$21:$H$310,5,FALSE)</f>
        <v>Suministro y levante MURO DE BLOCK No8 HUECO con  mortero 1:4.</v>
      </c>
      <c r="E1501" s="13"/>
      <c r="F1501" s="12"/>
      <c r="G1501" s="12"/>
      <c r="H1501" s="12"/>
      <c r="I1501" s="11" t="s">
        <v>400</v>
      </c>
      <c r="J1501" s="12" t="str">
        <f>+VLOOKUP('MEMORIAS DE CANTIDADES'!C1501,'PROPUESTA ECONOMICA(Proponente)'!$C$21:$H$310,6,FALSE)</f>
        <v>m2</v>
      </c>
      <c r="K1501" s="11" t="s">
        <v>401</v>
      </c>
      <c r="L1501" s="643">
        <f>SUM(L1502:L1510)</f>
        <v>328.82</v>
      </c>
    </row>
    <row r="1502" spans="2:12" ht="15">
      <c r="B1502" s="644"/>
      <c r="C1502" s="16"/>
      <c r="D1502" s="15"/>
      <c r="E1502" s="15"/>
      <c r="F1502" s="15"/>
      <c r="G1502" s="15"/>
      <c r="H1502" s="15"/>
      <c r="I1502" s="15"/>
      <c r="J1502" s="15"/>
      <c r="K1502" s="17"/>
      <c r="L1502" s="645"/>
    </row>
    <row r="1503" spans="2:12" ht="47.25">
      <c r="B1503" s="646" t="s">
        <v>402</v>
      </c>
      <c r="C1503" s="18" t="s">
        <v>403</v>
      </c>
      <c r="D1503" s="18" t="s">
        <v>404</v>
      </c>
      <c r="E1503" s="18" t="s">
        <v>405</v>
      </c>
      <c r="F1503" s="18" t="s">
        <v>406</v>
      </c>
      <c r="G1503" s="18" t="s">
        <v>407</v>
      </c>
      <c r="H1503" s="5" t="s">
        <v>408</v>
      </c>
      <c r="I1503" s="18" t="s">
        <v>409</v>
      </c>
      <c r="J1503" s="5" t="s">
        <v>410</v>
      </c>
      <c r="K1503" s="5" t="s">
        <v>411</v>
      </c>
      <c r="L1503" s="647" t="s">
        <v>412</v>
      </c>
    </row>
    <row r="1504" spans="2:12" ht="15.75">
      <c r="B1504" s="734"/>
      <c r="C1504" s="19"/>
      <c r="D1504" s="20"/>
      <c r="E1504" s="59"/>
      <c r="F1504" s="47"/>
      <c r="G1504" s="19"/>
      <c r="H1504" s="21"/>
      <c r="I1504" s="55"/>
      <c r="J1504" s="56"/>
      <c r="K1504" s="5"/>
      <c r="L1504" s="649"/>
    </row>
    <row r="1505" spans="2:12" ht="30">
      <c r="B1505" s="734" t="s">
        <v>499</v>
      </c>
      <c r="C1505" s="19"/>
      <c r="D1505" s="19"/>
      <c r="E1505" s="48">
        <v>0.82</v>
      </c>
      <c r="F1505" s="60">
        <f>133+201+58+9</f>
        <v>401</v>
      </c>
      <c r="G1505" s="57"/>
      <c r="H1505" s="21"/>
      <c r="I1505" s="55"/>
      <c r="J1505" s="56"/>
      <c r="K1505" s="5"/>
      <c r="L1505" s="649">
        <f t="shared" ref="L1505" si="105">PRODUCT(C1505:K1505)</f>
        <v>328.82</v>
      </c>
    </row>
    <row r="1506" spans="2:12" ht="15">
      <c r="B1506" s="734"/>
      <c r="C1506" s="39"/>
      <c r="D1506" s="39"/>
      <c r="E1506" s="39"/>
      <c r="F1506" s="39"/>
      <c r="G1506" s="39"/>
      <c r="H1506" s="39"/>
      <c r="I1506" s="39"/>
      <c r="J1506" s="39"/>
      <c r="K1506" s="39"/>
      <c r="L1506" s="738"/>
    </row>
    <row r="1507" spans="2:12" ht="15.75">
      <c r="B1507" s="734"/>
      <c r="C1507" s="61"/>
      <c r="D1507" s="61"/>
      <c r="E1507" s="59"/>
      <c r="F1507" s="59"/>
      <c r="G1507" s="63"/>
      <c r="H1507" s="64"/>
      <c r="I1507" s="65"/>
      <c r="J1507" s="66"/>
      <c r="K1507" s="52"/>
      <c r="L1507" s="649"/>
    </row>
    <row r="1508" spans="2:12" ht="15.75">
      <c r="B1508" s="734"/>
      <c r="C1508" s="19"/>
      <c r="D1508" s="19"/>
      <c r="E1508" s="48"/>
      <c r="F1508" s="59"/>
      <c r="G1508" s="57"/>
      <c r="H1508" s="21"/>
      <c r="I1508" s="47"/>
      <c r="J1508" s="56"/>
      <c r="K1508" s="5"/>
      <c r="L1508" s="649"/>
    </row>
    <row r="1509" spans="2:12" ht="15">
      <c r="B1509" s="734"/>
      <c r="C1509" s="19"/>
      <c r="D1509" s="39"/>
      <c r="E1509" s="39"/>
      <c r="F1509" s="59"/>
      <c r="G1509" s="39"/>
      <c r="H1509" s="39"/>
      <c r="I1509" s="39"/>
      <c r="J1509" s="39"/>
      <c r="K1509" s="39"/>
      <c r="L1509" s="649"/>
    </row>
    <row r="1510" spans="2:12" ht="15.75">
      <c r="B1510" s="1002" t="s">
        <v>414</v>
      </c>
      <c r="C1510" s="1003"/>
      <c r="D1510" s="1003"/>
      <c r="E1510" s="1003"/>
      <c r="F1510" s="1003"/>
      <c r="G1510" s="1003"/>
      <c r="H1510" s="1003"/>
      <c r="I1510" s="1003"/>
      <c r="J1510" s="1003"/>
      <c r="K1510" s="1003"/>
      <c r="L1510" s="1004"/>
    </row>
    <row r="1511" spans="2:12">
      <c r="B1511" s="651"/>
      <c r="L1511" s="652"/>
    </row>
    <row r="1512" spans="2:12" ht="15.75">
      <c r="B1512" s="638" t="s">
        <v>398</v>
      </c>
      <c r="C1512" s="8">
        <v>6</v>
      </c>
      <c r="D1512" s="1008" t="s">
        <v>1030</v>
      </c>
      <c r="E1512" s="1009"/>
      <c r="F1512" s="1009"/>
      <c r="G1512" s="1009"/>
      <c r="H1512" s="1009"/>
      <c r="I1512" s="1009"/>
      <c r="J1512" s="1009"/>
      <c r="K1512" s="1009"/>
      <c r="L1512" s="1010"/>
    </row>
    <row r="1513" spans="2:12" ht="15">
      <c r="B1513" s="1005"/>
      <c r="C1513" s="1006"/>
      <c r="D1513" s="1006"/>
      <c r="E1513" s="1006"/>
      <c r="F1513" s="1006"/>
      <c r="G1513" s="1006"/>
      <c r="H1513" s="1006"/>
      <c r="I1513" s="1006"/>
      <c r="J1513" s="1006"/>
      <c r="K1513" s="1006"/>
      <c r="L1513" s="1007"/>
    </row>
    <row r="1514" spans="2:12" ht="47.25">
      <c r="B1514" s="653" t="s">
        <v>399</v>
      </c>
      <c r="C1514" s="11">
        <f>+'PROPUESTA ECONOMICA(Proponente)'!C88</f>
        <v>6.8</v>
      </c>
      <c r="D1514" s="12" t="str">
        <f>+VLOOKUP('MEMORIAS DE CANTIDADES'!C1514,'PROPUESTA ECONOMICA(Proponente)'!$C$21:$H$310,5,FALSE)</f>
        <v>COLUMNAS DE CONCRETO A LA VISTA: Concreto  de 4000 PSI  (incluye suministro, formaletería e instalación).</v>
      </c>
      <c r="E1514" s="13"/>
      <c r="F1514" s="12"/>
      <c r="G1514" s="12"/>
      <c r="H1514" s="12"/>
      <c r="I1514" s="11" t="s">
        <v>400</v>
      </c>
      <c r="J1514" s="12" t="str">
        <f>+VLOOKUP('MEMORIAS DE CANTIDADES'!C1514,'PROPUESTA ECONOMICA(Proponente)'!$C$21:$H$310,6,FALSE)</f>
        <v>m3</v>
      </c>
      <c r="K1514" s="11" t="s">
        <v>401</v>
      </c>
      <c r="L1514" s="643">
        <f>SUM(L1515:L1531)</f>
        <v>24.502000000000002</v>
      </c>
    </row>
    <row r="1515" spans="2:12" ht="15">
      <c r="B1515" s="644"/>
      <c r="C1515" s="16"/>
      <c r="D1515" s="15"/>
      <c r="E1515" s="15"/>
      <c r="F1515" s="15"/>
      <c r="G1515" s="15"/>
      <c r="H1515" s="15"/>
      <c r="I1515" s="15"/>
      <c r="J1515" s="15"/>
      <c r="K1515" s="17"/>
      <c r="L1515" s="645"/>
    </row>
    <row r="1516" spans="2:12" ht="47.25">
      <c r="B1516" s="646" t="s">
        <v>402</v>
      </c>
      <c r="C1516" s="18" t="s">
        <v>403</v>
      </c>
      <c r="D1516" s="18" t="s">
        <v>404</v>
      </c>
      <c r="E1516" s="18" t="s">
        <v>405</v>
      </c>
      <c r="F1516" s="18" t="s">
        <v>406</v>
      </c>
      <c r="G1516" s="18" t="s">
        <v>407</v>
      </c>
      <c r="H1516" s="5" t="s">
        <v>408</v>
      </c>
      <c r="I1516" s="18" t="s">
        <v>409</v>
      </c>
      <c r="J1516" s="5" t="s">
        <v>410</v>
      </c>
      <c r="K1516" s="5" t="s">
        <v>411</v>
      </c>
      <c r="L1516" s="647" t="s">
        <v>412</v>
      </c>
    </row>
    <row r="1517" spans="2:12" ht="30">
      <c r="B1517" s="734" t="s">
        <v>499</v>
      </c>
      <c r="C1517" s="19"/>
      <c r="D1517" s="19">
        <v>0.2</v>
      </c>
      <c r="E1517" s="48">
        <v>0.25</v>
      </c>
      <c r="F1517" s="47">
        <v>0.82</v>
      </c>
      <c r="G1517" s="57"/>
      <c r="H1517" s="21"/>
      <c r="I1517" s="55">
        <f>ROUND(401/2.65,0)+1</f>
        <v>152</v>
      </c>
      <c r="J1517" s="56"/>
      <c r="K1517" s="5"/>
      <c r="L1517" s="649">
        <f>PRODUCT(C1517:K1517)</f>
        <v>6.2320000000000002</v>
      </c>
    </row>
    <row r="1518" spans="2:12" ht="15.75">
      <c r="B1518" s="734"/>
      <c r="C1518" s="19"/>
      <c r="D1518" s="19"/>
      <c r="E1518" s="48"/>
      <c r="F1518" s="47"/>
      <c r="G1518" s="57"/>
      <c r="H1518" s="21"/>
      <c r="J1518" s="56"/>
      <c r="K1518" s="5"/>
      <c r="L1518" s="761"/>
    </row>
    <row r="1519" spans="2:12" ht="15.75">
      <c r="B1519" s="734" t="s">
        <v>500</v>
      </c>
      <c r="C1519" s="19"/>
      <c r="D1519" s="19"/>
      <c r="E1519" s="48"/>
      <c r="F1519" s="47"/>
      <c r="G1519" s="57"/>
      <c r="H1519" s="21"/>
      <c r="I1519" s="55"/>
      <c r="J1519" s="56"/>
      <c r="K1519" s="5"/>
      <c r="L1519" s="761"/>
    </row>
    <row r="1520" spans="2:12" ht="15.75">
      <c r="B1520" s="715" t="s">
        <v>734</v>
      </c>
      <c r="C1520" s="39"/>
      <c r="D1520" s="39"/>
      <c r="E1520" s="39"/>
      <c r="F1520" s="39"/>
      <c r="G1520" s="39"/>
      <c r="H1520" s="39"/>
      <c r="I1520" s="39"/>
      <c r="J1520" s="39"/>
      <c r="K1520" s="39"/>
      <c r="L1520" s="738"/>
    </row>
    <row r="1521" spans="2:12" ht="15.75">
      <c r="B1521" s="734" t="s">
        <v>428</v>
      </c>
      <c r="C1521" s="61"/>
      <c r="D1521" s="61">
        <v>0.2</v>
      </c>
      <c r="E1521" s="59">
        <v>0.25</v>
      </c>
      <c r="F1521" s="59">
        <v>1.26</v>
      </c>
      <c r="G1521" s="63"/>
      <c r="H1521" s="64"/>
      <c r="I1521" s="65">
        <f>ROUND(360.8/2.5,0)+1</f>
        <v>145</v>
      </c>
      <c r="J1521" s="66"/>
      <c r="K1521" s="52"/>
      <c r="L1521" s="649">
        <f>PRODUCT(C1521:K1521)</f>
        <v>9.1349999999999998</v>
      </c>
    </row>
    <row r="1522" spans="2:12" ht="15.75">
      <c r="B1522" s="734"/>
      <c r="C1522" s="61"/>
      <c r="D1522" s="61"/>
      <c r="E1522" s="59"/>
      <c r="F1522" s="59"/>
      <c r="G1522" s="63"/>
      <c r="H1522" s="64"/>
      <c r="I1522" s="65"/>
      <c r="J1522" s="66"/>
      <c r="K1522" s="52"/>
      <c r="L1522" s="649">
        <f>PRODUCT(C1522:K1522)</f>
        <v>0</v>
      </c>
    </row>
    <row r="1523" spans="2:12" ht="15.75">
      <c r="B1523" s="715" t="s">
        <v>807</v>
      </c>
      <c r="C1523" s="19"/>
      <c r="D1523" s="39"/>
      <c r="E1523" s="39"/>
      <c r="F1523" s="59"/>
      <c r="G1523" s="39"/>
      <c r="H1523" s="39"/>
      <c r="I1523" s="39"/>
      <c r="J1523" s="39"/>
      <c r="K1523" s="39"/>
      <c r="L1523" s="649"/>
    </row>
    <row r="1524" spans="2:12" ht="15.75">
      <c r="B1524" s="734" t="s">
        <v>428</v>
      </c>
      <c r="C1524" s="19"/>
      <c r="D1524" s="20">
        <v>0.2</v>
      </c>
      <c r="E1524" s="20">
        <v>0.25</v>
      </c>
      <c r="F1524" s="59">
        <v>1.26</v>
      </c>
      <c r="G1524" s="57"/>
      <c r="H1524" s="21"/>
      <c r="I1524" s="47">
        <f>ROUND(247/2.5,0)+1</f>
        <v>100</v>
      </c>
      <c r="J1524" s="56"/>
      <c r="K1524" s="5"/>
      <c r="L1524" s="649">
        <f t="shared" ref="L1524" si="106">PRODUCT(C1524:K1524)</f>
        <v>6.3</v>
      </c>
    </row>
    <row r="1525" spans="2:12" ht="15.75">
      <c r="B1525" s="734"/>
      <c r="C1525" s="19"/>
      <c r="D1525" s="20"/>
      <c r="E1525" s="20"/>
      <c r="F1525" s="59"/>
      <c r="G1525" s="57"/>
      <c r="H1525" s="21"/>
      <c r="I1525" s="47"/>
      <c r="J1525" s="56"/>
      <c r="K1525" s="5"/>
      <c r="L1525" s="649"/>
    </row>
    <row r="1526" spans="2:12" ht="15.75">
      <c r="B1526" s="715" t="s">
        <v>782</v>
      </c>
      <c r="C1526" s="19"/>
      <c r="D1526" s="39"/>
      <c r="E1526" s="39"/>
      <c r="F1526" s="59"/>
      <c r="G1526" s="39"/>
      <c r="H1526" s="39"/>
      <c r="I1526" s="39"/>
      <c r="J1526" s="39"/>
      <c r="K1526" s="39"/>
      <c r="L1526" s="649"/>
    </row>
    <row r="1527" spans="2:12" ht="15.75">
      <c r="B1527" s="734" t="s">
        <v>428</v>
      </c>
      <c r="C1527" s="19"/>
      <c r="D1527" s="20">
        <v>0.2</v>
      </c>
      <c r="E1527" s="20">
        <v>0.25</v>
      </c>
      <c r="F1527" s="59">
        <v>1.26</v>
      </c>
      <c r="G1527" s="57"/>
      <c r="H1527" s="21"/>
      <c r="I1527" s="47">
        <f>ROUND(109/2.5,0)+1</f>
        <v>45</v>
      </c>
      <c r="J1527" s="56"/>
      <c r="K1527" s="5"/>
      <c r="L1527" s="649">
        <f t="shared" ref="L1527" si="107">PRODUCT(C1527:K1527)</f>
        <v>2.835</v>
      </c>
    </row>
    <row r="1528" spans="2:12" ht="15.75">
      <c r="B1528" s="734"/>
      <c r="C1528" s="19"/>
      <c r="D1528" s="20"/>
      <c r="E1528" s="20"/>
      <c r="F1528" s="59"/>
      <c r="G1528" s="57"/>
      <c r="H1528" s="21"/>
      <c r="I1528" s="47"/>
      <c r="J1528" s="56"/>
      <c r="K1528" s="5"/>
      <c r="L1528" s="649"/>
    </row>
    <row r="1529" spans="2:12" ht="15">
      <c r="B1529" s="746"/>
      <c r="C1529" s="19"/>
      <c r="D1529" s="20"/>
      <c r="E1529" s="20"/>
      <c r="F1529" s="59"/>
      <c r="G1529" s="19"/>
      <c r="H1529" s="21"/>
      <c r="I1529" s="47"/>
      <c r="J1529" s="56"/>
      <c r="K1529" s="17"/>
      <c r="L1529" s="649"/>
    </row>
    <row r="1530" spans="2:12" ht="16.5">
      <c r="B1530" s="731"/>
      <c r="C1530" s="19"/>
      <c r="D1530" s="20"/>
      <c r="E1530" s="20"/>
      <c r="F1530" s="47"/>
      <c r="G1530" s="20"/>
      <c r="H1530" s="21"/>
      <c r="I1530" s="41"/>
      <c r="J1530" s="46"/>
      <c r="K1530" s="17"/>
      <c r="L1530" s="649"/>
    </row>
    <row r="1531" spans="2:12" ht="15.75">
      <c r="B1531" s="1002" t="s">
        <v>414</v>
      </c>
      <c r="C1531" s="1003"/>
      <c r="D1531" s="1003"/>
      <c r="E1531" s="1003"/>
      <c r="F1531" s="1003"/>
      <c r="G1531" s="1003"/>
      <c r="H1531" s="1003"/>
      <c r="I1531" s="1003"/>
      <c r="J1531" s="1003"/>
      <c r="K1531" s="1003"/>
      <c r="L1531" s="1004"/>
    </row>
    <row r="1532" spans="2:12">
      <c r="B1532" s="651"/>
      <c r="L1532" s="652"/>
    </row>
    <row r="1533" spans="2:12" ht="15.75">
      <c r="B1533" s="638" t="s">
        <v>398</v>
      </c>
      <c r="C1533" s="8">
        <v>6</v>
      </c>
      <c r="D1533" s="1008" t="s">
        <v>1030</v>
      </c>
      <c r="E1533" s="1009"/>
      <c r="F1533" s="1009"/>
      <c r="G1533" s="1009"/>
      <c r="H1533" s="1009"/>
      <c r="I1533" s="1009"/>
      <c r="J1533" s="1009"/>
      <c r="K1533" s="1009"/>
      <c r="L1533" s="1010"/>
    </row>
    <row r="1534" spans="2:12" ht="15">
      <c r="B1534" s="1005"/>
      <c r="C1534" s="1006"/>
      <c r="D1534" s="1006"/>
      <c r="E1534" s="1006"/>
      <c r="F1534" s="1006"/>
      <c r="G1534" s="1006"/>
      <c r="H1534" s="1006"/>
      <c r="I1534" s="1006"/>
      <c r="J1534" s="1006"/>
      <c r="K1534" s="1006"/>
      <c r="L1534" s="1007"/>
    </row>
    <row r="1535" spans="2:12" ht="47.25">
      <c r="B1535" s="733" t="s">
        <v>399</v>
      </c>
      <c r="C1535" s="11">
        <f>+'PROPUESTA ECONOMICA(Proponente)'!C89</f>
        <v>6.9</v>
      </c>
      <c r="D1535" s="12" t="str">
        <f>+VLOOKUP('MEMORIAS DE CANTIDADES'!C1535,'PROPUESTA ECONOMICA(Proponente)'!$C$21:$H$310,5,FALSE)</f>
        <v>CONCRETO VIGA DE CONFIANAMIENTO 4000 PSI, (Incluye suministro, formalete ría e instalación).</v>
      </c>
      <c r="E1535" s="13"/>
      <c r="F1535" s="12"/>
      <c r="G1535" s="12"/>
      <c r="H1535" s="12"/>
      <c r="I1535" s="11" t="s">
        <v>400</v>
      </c>
      <c r="J1535" s="12" t="str">
        <f>+VLOOKUP('MEMORIAS DE CANTIDADES'!C1535,'PROPUESTA ECONOMICA(Proponente)'!$C$21:$H$310,6,FALSE)</f>
        <v>m3</v>
      </c>
      <c r="K1535" s="11" t="s">
        <v>401</v>
      </c>
      <c r="L1535" s="643">
        <f>SUM(L1536:L1551)</f>
        <v>71.930000000000021</v>
      </c>
    </row>
    <row r="1536" spans="2:12" ht="15">
      <c r="B1536" s="644"/>
      <c r="C1536" s="16"/>
      <c r="D1536" s="15"/>
      <c r="E1536" s="15"/>
      <c r="F1536" s="15"/>
      <c r="G1536" s="15"/>
      <c r="H1536" s="15"/>
      <c r="I1536" s="15"/>
      <c r="J1536" s="15"/>
      <c r="K1536" s="17"/>
      <c r="L1536" s="645"/>
    </row>
    <row r="1537" spans="2:12" ht="47.25">
      <c r="B1537" s="646" t="s">
        <v>402</v>
      </c>
      <c r="C1537" s="18" t="s">
        <v>403</v>
      </c>
      <c r="D1537" s="18" t="s">
        <v>404</v>
      </c>
      <c r="E1537" s="18" t="s">
        <v>405</v>
      </c>
      <c r="F1537" s="18" t="s">
        <v>406</v>
      </c>
      <c r="G1537" s="18" t="s">
        <v>407</v>
      </c>
      <c r="H1537" s="5" t="s">
        <v>408</v>
      </c>
      <c r="I1537" s="18" t="s">
        <v>409</v>
      </c>
      <c r="J1537" s="5" t="s">
        <v>410</v>
      </c>
      <c r="K1537" s="5" t="s">
        <v>411</v>
      </c>
      <c r="L1537" s="647" t="s">
        <v>412</v>
      </c>
    </row>
    <row r="1538" spans="2:12" ht="30">
      <c r="B1538" s="734" t="s">
        <v>499</v>
      </c>
      <c r="C1538" s="19"/>
      <c r="D1538" s="19">
        <v>0.2</v>
      </c>
      <c r="E1538" s="48">
        <v>0.45</v>
      </c>
      <c r="F1538" s="60">
        <f>133+201+58+9</f>
        <v>401</v>
      </c>
      <c r="G1538" s="57"/>
      <c r="H1538" s="21"/>
      <c r="I1538" s="55"/>
      <c r="J1538" s="56"/>
      <c r="K1538" s="5"/>
      <c r="L1538" s="649">
        <f>PRODUCT(C1538:K1538)</f>
        <v>36.090000000000003</v>
      </c>
    </row>
    <row r="1539" spans="2:12" ht="15.75">
      <c r="B1539" s="734"/>
      <c r="C1539" s="19"/>
      <c r="D1539" s="19"/>
      <c r="E1539" s="48"/>
      <c r="F1539" s="47"/>
      <c r="G1539" s="57"/>
      <c r="H1539" s="21"/>
      <c r="J1539" s="56"/>
      <c r="K1539" s="5"/>
      <c r="L1539" s="761"/>
    </row>
    <row r="1540" spans="2:12" ht="15.75">
      <c r="B1540" s="734" t="s">
        <v>500</v>
      </c>
      <c r="C1540" s="19"/>
      <c r="D1540" s="19"/>
      <c r="E1540" s="48"/>
      <c r="F1540" s="47"/>
      <c r="G1540" s="57"/>
      <c r="H1540" s="21"/>
      <c r="I1540" s="55"/>
      <c r="J1540" s="56"/>
      <c r="K1540" s="5"/>
      <c r="L1540" s="761"/>
    </row>
    <row r="1541" spans="2:12" ht="15.75">
      <c r="B1541" s="715" t="s">
        <v>734</v>
      </c>
      <c r="C1541" s="39"/>
      <c r="D1541" s="39"/>
      <c r="E1541" s="39"/>
      <c r="F1541" s="39"/>
      <c r="G1541" s="39"/>
      <c r="H1541" s="39"/>
      <c r="I1541" s="39"/>
      <c r="J1541" s="39"/>
      <c r="K1541" s="39"/>
      <c r="L1541" s="738"/>
    </row>
    <row r="1542" spans="2:12" ht="15.75">
      <c r="B1542" s="734" t="s">
        <v>428</v>
      </c>
      <c r="C1542" s="61"/>
      <c r="D1542" s="61">
        <v>0.2</v>
      </c>
      <c r="E1542" s="59">
        <v>0.25</v>
      </c>
      <c r="F1542" s="59">
        <v>360.8</v>
      </c>
      <c r="G1542" s="63"/>
      <c r="H1542" s="64"/>
      <c r="I1542" s="65"/>
      <c r="J1542" s="66"/>
      <c r="K1542" s="52"/>
      <c r="L1542" s="649">
        <f>PRODUCT(C1542:K1542)</f>
        <v>18.040000000000003</v>
      </c>
    </row>
    <row r="1543" spans="2:12" ht="15.75">
      <c r="B1543" s="734"/>
      <c r="C1543" s="61"/>
      <c r="D1543" s="61"/>
      <c r="E1543" s="59"/>
      <c r="F1543" s="59"/>
      <c r="G1543" s="63"/>
      <c r="H1543" s="64"/>
      <c r="I1543" s="65"/>
      <c r="J1543" s="66"/>
      <c r="K1543" s="52"/>
      <c r="L1543" s="649"/>
    </row>
    <row r="1544" spans="2:12" ht="15.75">
      <c r="B1544" s="715" t="s">
        <v>807</v>
      </c>
      <c r="C1544" s="19"/>
      <c r="D1544" s="39"/>
      <c r="E1544" s="137"/>
      <c r="F1544" s="59"/>
      <c r="G1544" s="39"/>
      <c r="H1544" s="39"/>
      <c r="I1544" s="39"/>
      <c r="J1544" s="39"/>
      <c r="K1544" s="39"/>
      <c r="L1544" s="649"/>
    </row>
    <row r="1545" spans="2:12" ht="15.75">
      <c r="B1545" s="734" t="s">
        <v>428</v>
      </c>
      <c r="C1545" s="19"/>
      <c r="D1545" s="20">
        <v>0.2</v>
      </c>
      <c r="E1545" s="19">
        <v>0.25</v>
      </c>
      <c r="F1545" s="59">
        <v>247</v>
      </c>
      <c r="G1545" s="57"/>
      <c r="H1545" s="21"/>
      <c r="I1545" s="47"/>
      <c r="J1545" s="56"/>
      <c r="K1545" s="5"/>
      <c r="L1545" s="649">
        <f t="shared" ref="L1545" si="108">PRODUCT(C1545:K1545)</f>
        <v>12.350000000000001</v>
      </c>
    </row>
    <row r="1546" spans="2:12" ht="15">
      <c r="B1546" s="746"/>
      <c r="C1546" s="19"/>
      <c r="D1546" s="20"/>
      <c r="E1546" s="19"/>
      <c r="F1546" s="59"/>
      <c r="G1546" s="19"/>
      <c r="H1546" s="21"/>
      <c r="I1546" s="47"/>
      <c r="J1546" s="56"/>
      <c r="K1546" s="17"/>
      <c r="L1546" s="649"/>
    </row>
    <row r="1547" spans="2:12" ht="15.75">
      <c r="B1547" s="715" t="s">
        <v>782</v>
      </c>
      <c r="C1547" s="19"/>
      <c r="D1547" s="39"/>
      <c r="E1547" s="137"/>
      <c r="F1547" s="59"/>
      <c r="G1547" s="39"/>
      <c r="H1547" s="39"/>
      <c r="I1547" s="39"/>
      <c r="J1547" s="39"/>
      <c r="K1547" s="39"/>
      <c r="L1547" s="649"/>
    </row>
    <row r="1548" spans="2:12" ht="15.75">
      <c r="B1548" s="734" t="s">
        <v>428</v>
      </c>
      <c r="C1548" s="19"/>
      <c r="D1548" s="20">
        <v>0.2</v>
      </c>
      <c r="E1548" s="19">
        <v>0.25</v>
      </c>
      <c r="F1548" s="59">
        <v>109</v>
      </c>
      <c r="G1548" s="57"/>
      <c r="H1548" s="21"/>
      <c r="I1548" s="47"/>
      <c r="J1548" s="56"/>
      <c r="K1548" s="5"/>
      <c r="L1548" s="649">
        <f>PRODUCT(C1548:K1548)</f>
        <v>5.45</v>
      </c>
    </row>
    <row r="1549" spans="2:12" ht="15">
      <c r="B1549" s="746"/>
      <c r="C1549" s="19"/>
      <c r="D1549" s="20"/>
      <c r="E1549" s="20"/>
      <c r="F1549" s="59"/>
      <c r="G1549" s="19"/>
      <c r="H1549" s="21"/>
      <c r="I1549" s="47"/>
      <c r="J1549" s="56"/>
      <c r="K1549" s="17"/>
      <c r="L1549" s="649"/>
    </row>
    <row r="1550" spans="2:12" ht="16.5">
      <c r="B1550" s="731"/>
      <c r="C1550" s="19"/>
      <c r="D1550" s="20"/>
      <c r="E1550" s="20"/>
      <c r="F1550" s="47"/>
      <c r="G1550" s="20"/>
      <c r="H1550" s="21"/>
      <c r="I1550" s="41"/>
      <c r="J1550" s="46"/>
      <c r="K1550" s="17"/>
      <c r="L1550" s="649"/>
    </row>
    <row r="1551" spans="2:12" ht="15.75">
      <c r="B1551" s="1002" t="s">
        <v>414</v>
      </c>
      <c r="C1551" s="1003"/>
      <c r="D1551" s="1003"/>
      <c r="E1551" s="1003"/>
      <c r="F1551" s="1003"/>
      <c r="G1551" s="1003"/>
      <c r="H1551" s="1003"/>
      <c r="I1551" s="1003"/>
      <c r="J1551" s="1003"/>
      <c r="K1551" s="1003"/>
      <c r="L1551" s="1004"/>
    </row>
    <row r="1552" spans="2:12">
      <c r="B1552" s="651"/>
      <c r="L1552" s="652"/>
    </row>
    <row r="1553" spans="2:14" ht="15.75">
      <c r="B1553" s="638" t="s">
        <v>398</v>
      </c>
      <c r="C1553" s="8">
        <v>6</v>
      </c>
      <c r="D1553" s="1008" t="s">
        <v>1030</v>
      </c>
      <c r="E1553" s="1009"/>
      <c r="F1553" s="1009"/>
      <c r="G1553" s="1009"/>
      <c r="H1553" s="1009"/>
      <c r="I1553" s="1009"/>
      <c r="J1553" s="1009"/>
      <c r="K1553" s="1009"/>
      <c r="L1553" s="1010"/>
    </row>
    <row r="1554" spans="2:14" ht="15">
      <c r="B1554" s="1005"/>
      <c r="C1554" s="1006"/>
      <c r="D1554" s="1006"/>
      <c r="E1554" s="1006"/>
      <c r="F1554" s="1006"/>
      <c r="G1554" s="1006"/>
      <c r="H1554" s="1006"/>
      <c r="I1554" s="1006"/>
      <c r="J1554" s="1006"/>
      <c r="K1554" s="1006"/>
      <c r="L1554" s="1007"/>
    </row>
    <row r="1555" spans="2:14" ht="51.6" customHeight="1">
      <c r="B1555" s="753" t="s">
        <v>399</v>
      </c>
      <c r="C1555" s="405">
        <f>+'PROPUESTA ECONOMICA(Proponente)'!C90</f>
        <v>6.1</v>
      </c>
      <c r="D1555" s="1011" t="s">
        <v>91</v>
      </c>
      <c r="E1555" s="1012"/>
      <c r="F1555" s="1012"/>
      <c r="G1555" s="1012"/>
      <c r="H1555" s="1013"/>
      <c r="I1555" s="200" t="s">
        <v>400</v>
      </c>
      <c r="J1555" s="406" t="str">
        <f>+VLOOKUP('MEMORIAS DE CANTIDADES'!C1555,'PROPUESTA ECONOMICA(Proponente)'!$C$21:$H$310,6,FALSE)</f>
        <v>m3</v>
      </c>
      <c r="K1555" s="200" t="s">
        <v>401</v>
      </c>
      <c r="L1555" s="754">
        <f>SUM(L1556:L1562)</f>
        <v>401</v>
      </c>
    </row>
    <row r="1556" spans="2:14" ht="15">
      <c r="B1556" s="644"/>
      <c r="C1556" s="16"/>
      <c r="D1556" s="15"/>
      <c r="E1556" s="15"/>
      <c r="F1556" s="15"/>
      <c r="G1556" s="15"/>
      <c r="H1556" s="15"/>
      <c r="I1556" s="15"/>
      <c r="J1556" s="15"/>
      <c r="K1556" s="17"/>
      <c r="L1556" s="645"/>
    </row>
    <row r="1557" spans="2:14" ht="47.25">
      <c r="B1557" s="646" t="s">
        <v>402</v>
      </c>
      <c r="C1557" s="18" t="s">
        <v>403</v>
      </c>
      <c r="D1557" s="18" t="s">
        <v>404</v>
      </c>
      <c r="E1557" s="18" t="s">
        <v>405</v>
      </c>
      <c r="F1557" s="18" t="s">
        <v>406</v>
      </c>
      <c r="G1557" s="18" t="s">
        <v>407</v>
      </c>
      <c r="H1557" s="5" t="s">
        <v>408</v>
      </c>
      <c r="I1557" s="18" t="s">
        <v>409</v>
      </c>
      <c r="J1557" s="5" t="s">
        <v>410</v>
      </c>
      <c r="K1557" s="5" t="s">
        <v>411</v>
      </c>
      <c r="L1557" s="647" t="s">
        <v>412</v>
      </c>
      <c r="N1557" s="213"/>
    </row>
    <row r="1558" spans="2:14" ht="30">
      <c r="B1558" s="734" t="s">
        <v>499</v>
      </c>
      <c r="C1558" s="19"/>
      <c r="D1558" s="19"/>
      <c r="E1558" s="48"/>
      <c r="F1558" s="60">
        <f>133+201+58+9</f>
        <v>401</v>
      </c>
      <c r="G1558" s="57"/>
      <c r="H1558" s="21"/>
      <c r="I1558" s="55"/>
      <c r="J1558" s="56"/>
      <c r="K1558" s="5"/>
      <c r="L1558" s="649">
        <f t="shared" ref="L1558" si="109">PRODUCT(C1558:K1558)</f>
        <v>401</v>
      </c>
    </row>
    <row r="1559" spans="2:14" ht="15.75">
      <c r="B1559" s="734"/>
      <c r="C1559" s="19"/>
      <c r="D1559" s="19"/>
      <c r="E1559" s="48"/>
      <c r="F1559" s="47"/>
      <c r="G1559" s="57"/>
      <c r="H1559" s="21"/>
      <c r="J1559" s="56"/>
      <c r="K1559" s="5"/>
      <c r="L1559" s="761"/>
    </row>
    <row r="1560" spans="2:14" ht="15">
      <c r="B1560" s="746"/>
      <c r="C1560" s="19"/>
      <c r="D1560" s="20"/>
      <c r="E1560" s="20"/>
      <c r="F1560" s="59"/>
      <c r="G1560" s="19"/>
      <c r="H1560" s="21"/>
      <c r="I1560" s="47"/>
      <c r="J1560" s="56"/>
      <c r="K1560" s="17"/>
      <c r="L1560" s="649"/>
    </row>
    <row r="1561" spans="2:14" ht="16.5">
      <c r="B1561" s="731"/>
      <c r="C1561" s="19"/>
      <c r="D1561" s="20"/>
      <c r="E1561" s="20"/>
      <c r="F1561" s="47"/>
      <c r="G1561" s="20"/>
      <c r="H1561" s="21"/>
      <c r="I1561" s="41"/>
      <c r="J1561" s="46"/>
      <c r="K1561" s="17"/>
      <c r="L1561" s="649"/>
    </row>
    <row r="1562" spans="2:14" ht="15.75">
      <c r="B1562" s="1002" t="s">
        <v>414</v>
      </c>
      <c r="C1562" s="1003"/>
      <c r="D1562" s="1003"/>
      <c r="E1562" s="1003"/>
      <c r="F1562" s="1003"/>
      <c r="G1562" s="1003"/>
      <c r="H1562" s="1003"/>
      <c r="I1562" s="1003"/>
      <c r="J1562" s="1003"/>
      <c r="K1562" s="1003"/>
      <c r="L1562" s="1004"/>
    </row>
    <row r="1563" spans="2:14">
      <c r="B1563" s="651"/>
      <c r="L1563" s="652"/>
    </row>
    <row r="1564" spans="2:14" ht="15.75">
      <c r="B1564" s="638" t="s">
        <v>398</v>
      </c>
      <c r="C1564" s="8">
        <v>6</v>
      </c>
      <c r="D1564" s="1008" t="s">
        <v>1030</v>
      </c>
      <c r="E1564" s="1009"/>
      <c r="F1564" s="1009"/>
      <c r="G1564" s="1009"/>
      <c r="H1564" s="1009"/>
      <c r="I1564" s="1009"/>
      <c r="J1564" s="1009"/>
      <c r="K1564" s="1009"/>
      <c r="L1564" s="1010"/>
    </row>
    <row r="1565" spans="2:14" ht="15">
      <c r="B1565" s="1005"/>
      <c r="C1565" s="1006"/>
      <c r="D1565" s="1006"/>
      <c r="E1565" s="1006"/>
      <c r="F1565" s="1006"/>
      <c r="G1565" s="1006"/>
      <c r="H1565" s="1006"/>
      <c r="I1565" s="1006"/>
      <c r="J1565" s="1006"/>
      <c r="K1565" s="1006"/>
      <c r="L1565" s="1007"/>
    </row>
    <row r="1566" spans="2:14" ht="76.900000000000006" customHeight="1">
      <c r="B1566" s="733" t="s">
        <v>399</v>
      </c>
      <c r="C1566" s="29">
        <f>+'PROPUESTA ECONOMICA(Proponente)'!C91</f>
        <v>6.11</v>
      </c>
      <c r="D1566" s="12" t="str">
        <f>+VLOOKUP('MEMORIAS DE CANTIDADES'!C1566,'PROPUESTA ECONOMICA(Proponente)'!$C$21:$H$310,5,FALSE)</f>
        <v>CERRAMIENTO EN PANELES GALVANIZADO: Panel reja contemporáneo de acero de 2.4 m de alto por 2.5 de Ancho  con un doble alambre vertical calibre 656 y un alambre horizontal calibre  6 y un alambre horizontal calibre, abertura 50 mm x 200mm.Tubo calibre 16 de 3" x 3" con tapa en polipropileno Y Abrazadera metálica de acero 3" x 3" con tornillo cabeza de coche en acero inoxidable, perno en acero inoxidable y tuerca de seguridad en acero inoxidable.</v>
      </c>
      <c r="E1566" s="13"/>
      <c r="F1566" s="12"/>
      <c r="G1566" s="12"/>
      <c r="H1566" s="12"/>
      <c r="I1566" s="11" t="s">
        <v>400</v>
      </c>
      <c r="J1566" s="12" t="str">
        <f>+VLOOKUP('MEMORIAS DE CANTIDADES'!C1566,'PROPUESTA ECONOMICA(Proponente)'!$C$21:$H$310,6,FALSE)</f>
        <v>m2</v>
      </c>
      <c r="K1566" s="11" t="s">
        <v>401</v>
      </c>
      <c r="L1566" s="643">
        <f>SUM(L1567:L1579)</f>
        <v>2224</v>
      </c>
    </row>
    <row r="1567" spans="2:14" ht="15">
      <c r="B1567" s="644"/>
      <c r="C1567" s="16"/>
      <c r="D1567" s="15"/>
      <c r="E1567" s="15"/>
      <c r="F1567" s="15"/>
      <c r="G1567" s="15"/>
      <c r="H1567" s="15"/>
      <c r="I1567" s="15"/>
      <c r="J1567" s="15"/>
      <c r="K1567" s="17"/>
      <c r="L1567" s="645"/>
    </row>
    <row r="1568" spans="2:14" ht="47.25">
      <c r="B1568" s="646" t="s">
        <v>402</v>
      </c>
      <c r="C1568" s="18" t="s">
        <v>403</v>
      </c>
      <c r="D1568" s="18" t="s">
        <v>404</v>
      </c>
      <c r="E1568" s="18" t="s">
        <v>405</v>
      </c>
      <c r="F1568" s="18" t="s">
        <v>406</v>
      </c>
      <c r="G1568" s="18" t="s">
        <v>407</v>
      </c>
      <c r="H1568" s="5" t="s">
        <v>408</v>
      </c>
      <c r="I1568" s="18" t="s">
        <v>409</v>
      </c>
      <c r="J1568" s="5" t="s">
        <v>410</v>
      </c>
      <c r="K1568" s="5" t="s">
        <v>411</v>
      </c>
      <c r="L1568" s="647" t="s">
        <v>412</v>
      </c>
    </row>
    <row r="1569" spans="2:12" ht="15.75">
      <c r="B1569" s="734" t="s">
        <v>500</v>
      </c>
      <c r="C1569" s="19"/>
      <c r="D1569" s="19"/>
      <c r="E1569" s="48"/>
      <c r="F1569" s="47"/>
      <c r="G1569" s="57"/>
      <c r="H1569" s="21"/>
      <c r="I1569" s="55"/>
      <c r="J1569" s="56"/>
      <c r="K1569" s="5"/>
      <c r="L1569" s="761"/>
    </row>
    <row r="1570" spans="2:12" ht="15.75">
      <c r="B1570" s="715" t="s">
        <v>734</v>
      </c>
      <c r="C1570" s="39"/>
      <c r="D1570" s="39"/>
      <c r="E1570" s="39"/>
      <c r="F1570" s="39"/>
      <c r="G1570" s="39"/>
      <c r="H1570" s="39"/>
      <c r="I1570" s="39"/>
      <c r="J1570" s="39"/>
      <c r="K1570" s="39"/>
      <c r="L1570" s="738"/>
    </row>
    <row r="1571" spans="2:12" ht="15.75">
      <c r="B1571" s="734"/>
      <c r="C1571" s="61"/>
      <c r="D1571" s="61"/>
      <c r="E1571" s="136">
        <v>4</v>
      </c>
      <c r="F1571" s="860">
        <v>200</v>
      </c>
      <c r="G1571" s="63"/>
      <c r="H1571" s="64"/>
      <c r="I1571" s="65"/>
      <c r="J1571" s="66"/>
      <c r="K1571" s="52"/>
      <c r="L1571" s="762">
        <f>PRODUCT(C1571:K1571)</f>
        <v>800</v>
      </c>
    </row>
    <row r="1572" spans="2:12" ht="15.75">
      <c r="B1572" s="734"/>
      <c r="C1572" s="61"/>
      <c r="D1572" s="61"/>
      <c r="E1572" s="136"/>
      <c r="F1572" s="59"/>
      <c r="G1572" s="63"/>
      <c r="H1572" s="64"/>
      <c r="I1572" s="65"/>
      <c r="J1572" s="66"/>
      <c r="K1572" s="52"/>
      <c r="L1572" s="762"/>
    </row>
    <row r="1573" spans="2:12" ht="15.75">
      <c r="B1573" s="715" t="s">
        <v>807</v>
      </c>
      <c r="C1573" s="19"/>
      <c r="D1573" s="39"/>
      <c r="E1573" s="136"/>
      <c r="F1573" s="59"/>
      <c r="G1573" s="39"/>
      <c r="H1573" s="39"/>
      <c r="I1573" s="39"/>
      <c r="J1573" s="39"/>
      <c r="K1573" s="39"/>
      <c r="L1573" s="762"/>
    </row>
    <row r="1574" spans="2:12" ht="15.75">
      <c r="B1574" s="734"/>
      <c r="C1574" s="19"/>
      <c r="D1574" s="20"/>
      <c r="E1574" s="136">
        <v>4</v>
      </c>
      <c r="F1574" s="59">
        <v>247</v>
      </c>
      <c r="G1574" s="57"/>
      <c r="H1574" s="21"/>
      <c r="I1574" s="47"/>
      <c r="J1574" s="56"/>
      <c r="K1574" s="5"/>
      <c r="L1574" s="762">
        <f t="shared" ref="L1574" si="110">PRODUCT(C1574:K1574)</f>
        <v>988</v>
      </c>
    </row>
    <row r="1575" spans="2:12" ht="15">
      <c r="B1575" s="746"/>
      <c r="C1575" s="19"/>
      <c r="D1575" s="20"/>
      <c r="E1575" s="136"/>
      <c r="F1575" s="59"/>
      <c r="G1575" s="19"/>
      <c r="H1575" s="21"/>
      <c r="I1575" s="47"/>
      <c r="J1575" s="56"/>
      <c r="K1575" s="17"/>
      <c r="L1575" s="762"/>
    </row>
    <row r="1576" spans="2:12" ht="15.75">
      <c r="B1576" s="715" t="s">
        <v>782</v>
      </c>
      <c r="C1576" s="19"/>
      <c r="D1576" s="39"/>
      <c r="E1576" s="136"/>
      <c r="F1576" s="59"/>
      <c r="G1576" s="39"/>
      <c r="H1576" s="39"/>
      <c r="I1576" s="39"/>
      <c r="J1576" s="39"/>
      <c r="K1576" s="39"/>
      <c r="L1576" s="762"/>
    </row>
    <row r="1577" spans="2:12" ht="15.75">
      <c r="B1577" s="734"/>
      <c r="C1577" s="19"/>
      <c r="D1577" s="20"/>
      <c r="E1577" s="136">
        <v>4</v>
      </c>
      <c r="F1577" s="59">
        <v>109</v>
      </c>
      <c r="G1577" s="57"/>
      <c r="H1577" s="21"/>
      <c r="I1577" s="47"/>
      <c r="J1577" s="56"/>
      <c r="K1577" s="5"/>
      <c r="L1577" s="762">
        <f>PRODUCT(C1577:K1577)</f>
        <v>436</v>
      </c>
    </row>
    <row r="1578" spans="2:12" ht="16.5">
      <c r="B1578" s="731"/>
      <c r="C1578" s="19"/>
      <c r="D1578" s="20"/>
      <c r="E1578" s="20"/>
      <c r="F1578" s="47"/>
      <c r="G1578" s="20"/>
      <c r="H1578" s="21"/>
      <c r="I1578" s="41"/>
      <c r="J1578" s="46"/>
      <c r="K1578" s="17"/>
      <c r="L1578" s="649"/>
    </row>
    <row r="1579" spans="2:12" ht="15.75">
      <c r="B1579" s="981" t="s">
        <v>414</v>
      </c>
      <c r="C1579" s="982"/>
      <c r="D1579" s="982"/>
      <c r="E1579" s="982"/>
      <c r="F1579" s="982"/>
      <c r="G1579" s="982"/>
      <c r="H1579" s="982"/>
      <c r="I1579" s="982"/>
      <c r="J1579" s="982"/>
      <c r="K1579" s="982"/>
      <c r="L1579" s="983"/>
    </row>
    <row r="1580" spans="2:12">
      <c r="B1580" s="651"/>
      <c r="L1580" s="652"/>
    </row>
    <row r="1581" spans="2:12" ht="15.75">
      <c r="B1581" s="638" t="s">
        <v>398</v>
      </c>
      <c r="C1581" s="8">
        <v>6</v>
      </c>
      <c r="D1581" s="1008" t="s">
        <v>1030</v>
      </c>
      <c r="E1581" s="1009"/>
      <c r="F1581" s="1009"/>
      <c r="G1581" s="1009"/>
      <c r="H1581" s="1009"/>
      <c r="I1581" s="1009"/>
      <c r="J1581" s="1009"/>
      <c r="K1581" s="1009"/>
      <c r="L1581" s="1010"/>
    </row>
    <row r="1582" spans="2:12" ht="15">
      <c r="B1582" s="1005"/>
      <c r="C1582" s="1006"/>
      <c r="D1582" s="1006"/>
      <c r="E1582" s="1006"/>
      <c r="F1582" s="1006"/>
      <c r="G1582" s="1006"/>
      <c r="H1582" s="1006"/>
      <c r="I1582" s="1006"/>
      <c r="J1582" s="1006"/>
      <c r="K1582" s="1006"/>
      <c r="L1582" s="1007"/>
    </row>
    <row r="1583" spans="2:12" ht="31.5">
      <c r="B1583" s="733" t="s">
        <v>399</v>
      </c>
      <c r="C1583" s="29">
        <f>+'PROPUESTA ECONOMICA(Proponente)'!C92</f>
        <v>6.12</v>
      </c>
      <c r="D1583" s="12" t="str">
        <f>+VLOOKUP('MEMORIAS DE CANTIDADES'!C1583,'PROPUESTA ECONOMICA(Proponente)'!$C$21:$H$310,5,FALSE)</f>
        <v>Pañete en  mortero 1:3 para muros y paredes (incluye suministro)</v>
      </c>
      <c r="E1583" s="13"/>
      <c r="F1583" s="12"/>
      <c r="G1583" s="12"/>
      <c r="H1583" s="12"/>
      <c r="I1583" s="11" t="s">
        <v>400</v>
      </c>
      <c r="J1583" s="12" t="str">
        <f>+VLOOKUP('MEMORIAS DE CANTIDADES'!C1583,'PROPUESTA ECONOMICA(Proponente)'!$C$21:$H$310,6,FALSE)</f>
        <v>m2</v>
      </c>
      <c r="K1583" s="11" t="s">
        <v>401</v>
      </c>
      <c r="L1583" s="643">
        <f>SUM(L1584:L1596)</f>
        <v>2314.4479999999999</v>
      </c>
    </row>
    <row r="1584" spans="2:12" ht="15">
      <c r="B1584" s="644"/>
      <c r="C1584" s="16"/>
      <c r="D1584" s="15"/>
      <c r="E1584" s="15"/>
      <c r="F1584" s="15"/>
      <c r="G1584" s="15"/>
      <c r="H1584" s="15"/>
      <c r="I1584" s="15"/>
      <c r="J1584" s="15"/>
      <c r="K1584" s="17"/>
      <c r="L1584" s="645"/>
    </row>
    <row r="1585" spans="2:12" ht="47.25">
      <c r="B1585" s="646" t="s">
        <v>402</v>
      </c>
      <c r="C1585" s="18" t="s">
        <v>403</v>
      </c>
      <c r="D1585" s="18" t="s">
        <v>404</v>
      </c>
      <c r="E1585" s="18" t="s">
        <v>405</v>
      </c>
      <c r="F1585" s="18" t="s">
        <v>406</v>
      </c>
      <c r="G1585" s="18" t="s">
        <v>407</v>
      </c>
      <c r="H1585" s="5" t="s">
        <v>408</v>
      </c>
      <c r="I1585" s="18" t="s">
        <v>409</v>
      </c>
      <c r="J1585" s="5" t="s">
        <v>410</v>
      </c>
      <c r="K1585" s="5" t="s">
        <v>411</v>
      </c>
      <c r="L1585" s="647" t="s">
        <v>412</v>
      </c>
    </row>
    <row r="1586" spans="2:12" ht="30">
      <c r="B1586" s="734" t="s">
        <v>499</v>
      </c>
      <c r="C1586" s="19"/>
      <c r="D1586" s="19"/>
      <c r="E1586" s="48">
        <v>1</v>
      </c>
      <c r="F1586" s="47">
        <v>401</v>
      </c>
      <c r="G1586" s="57"/>
      <c r="H1586" s="21"/>
      <c r="I1586" s="55"/>
      <c r="J1586" s="56">
        <v>2</v>
      </c>
      <c r="K1586" s="5"/>
      <c r="L1586" s="762">
        <f>PRODUCT(C1586:K1586)</f>
        <v>802</v>
      </c>
    </row>
    <row r="1587" spans="2:12" ht="15.75">
      <c r="B1587" s="734"/>
      <c r="C1587" s="19"/>
      <c r="D1587" s="19"/>
      <c r="E1587" s="48"/>
      <c r="F1587" s="47"/>
      <c r="G1587" s="57"/>
      <c r="H1587" s="21"/>
      <c r="I1587" s="763"/>
      <c r="J1587" s="56"/>
      <c r="K1587" s="5"/>
      <c r="L1587" s="761"/>
    </row>
    <row r="1588" spans="2:12" ht="15.75">
      <c r="B1588" s="715" t="s">
        <v>734</v>
      </c>
      <c r="C1588" s="39"/>
      <c r="D1588" s="39"/>
      <c r="E1588" s="39"/>
      <c r="F1588" s="39"/>
      <c r="G1588" s="39"/>
      <c r="H1588" s="39"/>
      <c r="I1588" s="39"/>
      <c r="J1588" s="39"/>
      <c r="K1588" s="39"/>
      <c r="L1588" s="738"/>
    </row>
    <row r="1589" spans="2:12" ht="15.75">
      <c r="B1589" s="734"/>
      <c r="C1589" s="61"/>
      <c r="D1589" s="61"/>
      <c r="E1589" s="51">
        <v>0.62</v>
      </c>
      <c r="F1589" s="59">
        <v>360.8</v>
      </c>
      <c r="G1589" s="63"/>
      <c r="H1589" s="64"/>
      <c r="I1589" s="65"/>
      <c r="J1589" s="66">
        <v>2</v>
      </c>
      <c r="K1589" s="52"/>
      <c r="L1589" s="762">
        <f>PRODUCT(C1589:K1589)</f>
        <v>447.392</v>
      </c>
    </row>
    <row r="1590" spans="2:12" ht="15.75">
      <c r="B1590" s="734"/>
      <c r="C1590" s="61"/>
      <c r="D1590" s="61"/>
      <c r="E1590" s="51">
        <v>0.87</v>
      </c>
      <c r="F1590" s="59">
        <v>360.8</v>
      </c>
      <c r="G1590" s="63"/>
      <c r="H1590" s="64"/>
      <c r="I1590" s="65"/>
      <c r="J1590" s="66">
        <v>1</v>
      </c>
      <c r="K1590" s="52"/>
      <c r="L1590" s="762">
        <f>PRODUCT(C1590:K1590)</f>
        <v>313.89600000000002</v>
      </c>
    </row>
    <row r="1591" spans="2:12" ht="15.75">
      <c r="B1591" s="715" t="s">
        <v>807</v>
      </c>
      <c r="C1591" s="19"/>
      <c r="D1591" s="39"/>
      <c r="E1591" s="51"/>
      <c r="F1591" s="59"/>
      <c r="G1591" s="39"/>
      <c r="H1591" s="39"/>
      <c r="I1591" s="39"/>
      <c r="J1591" s="39"/>
      <c r="K1591" s="39"/>
      <c r="L1591" s="762"/>
    </row>
    <row r="1592" spans="2:12" ht="15.75">
      <c r="B1592" s="734"/>
      <c r="C1592" s="19"/>
      <c r="D1592" s="20"/>
      <c r="E1592" s="51">
        <v>0.62</v>
      </c>
      <c r="F1592" s="59">
        <v>247</v>
      </c>
      <c r="G1592" s="57"/>
      <c r="H1592" s="21"/>
      <c r="I1592" s="47"/>
      <c r="J1592" s="56">
        <v>2</v>
      </c>
      <c r="K1592" s="5"/>
      <c r="L1592" s="762">
        <f t="shared" ref="L1592" si="111">PRODUCT(C1592:K1592)</f>
        <v>306.27999999999997</v>
      </c>
    </row>
    <row r="1593" spans="2:12" ht="15.75">
      <c r="B1593" s="746"/>
      <c r="C1593" s="19"/>
      <c r="D1593" s="20"/>
      <c r="E1593" s="51">
        <v>0.87</v>
      </c>
      <c r="F1593" s="59">
        <v>247</v>
      </c>
      <c r="G1593" s="57"/>
      <c r="H1593" s="21"/>
      <c r="I1593" s="47"/>
      <c r="J1593" s="56">
        <v>1</v>
      </c>
      <c r="K1593" s="5"/>
      <c r="L1593" s="762">
        <f t="shared" ref="L1593" si="112">PRODUCT(C1593:K1593)</f>
        <v>214.89</v>
      </c>
    </row>
    <row r="1594" spans="2:12" ht="15.75">
      <c r="B1594" s="715" t="s">
        <v>782</v>
      </c>
      <c r="C1594" s="19"/>
      <c r="D1594" s="39"/>
      <c r="E1594" s="51"/>
      <c r="F1594" s="59"/>
      <c r="G1594" s="39"/>
      <c r="H1594" s="39"/>
      <c r="I1594" s="39"/>
      <c r="J1594" s="39"/>
      <c r="K1594" s="39"/>
      <c r="L1594" s="762"/>
    </row>
    <row r="1595" spans="2:12" ht="15.75">
      <c r="B1595" s="734"/>
      <c r="C1595" s="19"/>
      <c r="D1595" s="20"/>
      <c r="E1595" s="51">
        <v>0.62</v>
      </c>
      <c r="F1595" s="59">
        <v>109</v>
      </c>
      <c r="G1595" s="57"/>
      <c r="H1595" s="21"/>
      <c r="I1595" s="47"/>
      <c r="J1595" s="56">
        <v>2</v>
      </c>
      <c r="K1595" s="5"/>
      <c r="L1595" s="762">
        <f>PRODUCT(C1595:K1595)</f>
        <v>135.16</v>
      </c>
    </row>
    <row r="1596" spans="2:12" ht="15.75">
      <c r="B1596" s="731"/>
      <c r="C1596" s="19"/>
      <c r="D1596" s="20"/>
      <c r="E1596" s="51">
        <v>0.87</v>
      </c>
      <c r="F1596" s="59">
        <v>109</v>
      </c>
      <c r="G1596" s="57"/>
      <c r="H1596" s="21"/>
      <c r="I1596" s="47"/>
      <c r="J1596" s="56">
        <v>1</v>
      </c>
      <c r="K1596" s="5"/>
      <c r="L1596" s="762">
        <f>PRODUCT(C1596:K1596)</f>
        <v>94.83</v>
      </c>
    </row>
    <row r="1597" spans="2:12">
      <c r="B1597" s="651"/>
      <c r="L1597" s="652"/>
    </row>
    <row r="1598" spans="2:12" ht="15.75">
      <c r="B1598" s="638" t="s">
        <v>398</v>
      </c>
      <c r="C1598" s="8">
        <v>6</v>
      </c>
      <c r="D1598" s="1008" t="s">
        <v>1030</v>
      </c>
      <c r="E1598" s="1009"/>
      <c r="F1598" s="1009"/>
      <c r="G1598" s="1009"/>
      <c r="H1598" s="1009"/>
      <c r="I1598" s="1009"/>
      <c r="J1598" s="1009"/>
      <c r="K1598" s="1009"/>
      <c r="L1598" s="1010"/>
    </row>
    <row r="1599" spans="2:12" ht="15">
      <c r="B1599" s="1005"/>
      <c r="C1599" s="1006"/>
      <c r="D1599" s="1006"/>
      <c r="E1599" s="1006"/>
      <c r="F1599" s="1006"/>
      <c r="G1599" s="1006"/>
      <c r="H1599" s="1006"/>
      <c r="I1599" s="1006"/>
      <c r="J1599" s="1006"/>
      <c r="K1599" s="1006"/>
      <c r="L1599" s="1007"/>
    </row>
    <row r="1600" spans="2:12" ht="31.5">
      <c r="B1600" s="653" t="s">
        <v>399</v>
      </c>
      <c r="C1600" s="29">
        <f>+'PROPUESTA ECONOMICA(Proponente)'!C93</f>
        <v>6.13</v>
      </c>
      <c r="D1600" s="12" t="str">
        <f>+VLOOKUP('MEMORIAS DE CANTIDADES'!C1600,'PROPUESTA ECONOMICA(Proponente)'!$C$21:$H$310,5,FALSE)</f>
        <v>Pintura en Vinilo tipo Koraza o similar para exterior, dos manos. Incluye suministro.</v>
      </c>
      <c r="E1600" s="13"/>
      <c r="F1600" s="12"/>
      <c r="G1600" s="12"/>
      <c r="H1600" s="12"/>
      <c r="I1600" s="11" t="s">
        <v>400</v>
      </c>
      <c r="J1600" s="12" t="str">
        <f>+VLOOKUP('MEMORIAS DE CANTIDADES'!C1600,'PROPUESTA ECONOMICA(Proponente)'!$C$21:$H$310,6,FALSE)</f>
        <v>m2</v>
      </c>
      <c r="K1600" s="11" t="s">
        <v>401</v>
      </c>
      <c r="L1600" s="643">
        <f>SUM(L1601:L1614)</f>
        <v>1948.8800000000003</v>
      </c>
    </row>
    <row r="1601" spans="2:12" ht="15">
      <c r="B1601" s="644"/>
      <c r="C1601" s="16"/>
      <c r="D1601" s="15"/>
      <c r="E1601" s="15"/>
      <c r="F1601" s="15"/>
      <c r="G1601" s="15"/>
      <c r="H1601" s="15"/>
      <c r="I1601" s="15"/>
      <c r="J1601" s="15"/>
      <c r="K1601" s="17"/>
      <c r="L1601" s="645"/>
    </row>
    <row r="1602" spans="2:12" ht="47.25">
      <c r="B1602" s="646" t="s">
        <v>402</v>
      </c>
      <c r="C1602" s="18" t="s">
        <v>403</v>
      </c>
      <c r="D1602" s="18" t="s">
        <v>404</v>
      </c>
      <c r="E1602" s="18" t="s">
        <v>405</v>
      </c>
      <c r="F1602" s="18" t="s">
        <v>406</v>
      </c>
      <c r="G1602" s="18" t="s">
        <v>407</v>
      </c>
      <c r="H1602" s="5" t="s">
        <v>408</v>
      </c>
      <c r="I1602" s="18" t="s">
        <v>409</v>
      </c>
      <c r="J1602" s="5" t="s">
        <v>410</v>
      </c>
      <c r="K1602" s="5" t="s">
        <v>411</v>
      </c>
      <c r="L1602" s="647" t="s">
        <v>412</v>
      </c>
    </row>
    <row r="1603" spans="2:12" ht="30">
      <c r="B1603" s="734" t="s">
        <v>499</v>
      </c>
      <c r="C1603" s="19"/>
      <c r="D1603" s="19"/>
      <c r="E1603" s="48">
        <v>1</v>
      </c>
      <c r="F1603" s="47">
        <v>401</v>
      </c>
      <c r="G1603" s="57"/>
      <c r="H1603" s="21"/>
      <c r="I1603" s="55"/>
      <c r="J1603" s="56">
        <v>2</v>
      </c>
      <c r="K1603" s="5"/>
      <c r="L1603" s="649">
        <f t="shared" ref="L1603" si="113">PRODUCT(C1603:K1603)</f>
        <v>802</v>
      </c>
    </row>
    <row r="1604" spans="2:12" ht="15.75">
      <c r="B1604" s="734"/>
      <c r="C1604" s="19"/>
      <c r="D1604" s="19"/>
      <c r="E1604" s="48"/>
      <c r="F1604" s="47"/>
      <c r="G1604" s="57"/>
      <c r="H1604" s="21"/>
      <c r="J1604" s="56"/>
      <c r="K1604" s="5"/>
      <c r="L1604" s="761"/>
    </row>
    <row r="1605" spans="2:12" ht="15.75">
      <c r="B1605" s="734" t="s">
        <v>500</v>
      </c>
      <c r="C1605" s="19"/>
      <c r="D1605" s="19"/>
      <c r="E1605" s="48"/>
      <c r="F1605" s="47"/>
      <c r="G1605" s="57"/>
      <c r="H1605" s="21"/>
      <c r="I1605" s="55"/>
      <c r="J1605" s="56"/>
      <c r="K1605" s="5"/>
      <c r="L1605" s="761"/>
    </row>
    <row r="1606" spans="2:12" ht="15.75">
      <c r="B1606" s="715" t="s">
        <v>734</v>
      </c>
      <c r="C1606" s="39"/>
      <c r="D1606" s="39"/>
      <c r="E1606" s="39"/>
      <c r="F1606" s="39"/>
      <c r="G1606" s="39"/>
      <c r="H1606" s="39"/>
      <c r="I1606" s="39"/>
      <c r="J1606" s="39"/>
      <c r="K1606" s="39"/>
      <c r="L1606" s="738"/>
    </row>
    <row r="1607" spans="2:12" ht="15.75">
      <c r="B1607" s="734"/>
      <c r="C1607" s="61"/>
      <c r="D1607" s="61"/>
      <c r="E1607" s="59">
        <v>0.8</v>
      </c>
      <c r="F1607" s="59">
        <v>360.8</v>
      </c>
      <c r="G1607" s="63"/>
      <c r="H1607" s="64"/>
      <c r="I1607" s="65"/>
      <c r="J1607" s="66">
        <v>2</v>
      </c>
      <c r="K1607" s="52"/>
      <c r="L1607" s="649">
        <f>PRODUCT(C1607:K1607)</f>
        <v>577.28000000000009</v>
      </c>
    </row>
    <row r="1608" spans="2:12" ht="15.75">
      <c r="B1608" s="734"/>
      <c r="C1608" s="61"/>
      <c r="D1608" s="61"/>
      <c r="E1608" s="59"/>
      <c r="F1608" s="59"/>
      <c r="G1608" s="63"/>
      <c r="H1608" s="64"/>
      <c r="I1608" s="65"/>
      <c r="J1608" s="66"/>
      <c r="K1608" s="52"/>
      <c r="L1608" s="649"/>
    </row>
    <row r="1609" spans="2:12" ht="15.75">
      <c r="B1609" s="715" t="s">
        <v>807</v>
      </c>
      <c r="C1609" s="19"/>
      <c r="D1609" s="39"/>
      <c r="E1609" s="39"/>
      <c r="F1609" s="59"/>
      <c r="G1609" s="39"/>
      <c r="H1609" s="39"/>
      <c r="I1609" s="39"/>
      <c r="J1609" s="39"/>
      <c r="K1609" s="39"/>
      <c r="L1609" s="649"/>
    </row>
    <row r="1610" spans="2:12" ht="15.75">
      <c r="B1610" s="734"/>
      <c r="C1610" s="19"/>
      <c r="D1610" s="20"/>
      <c r="E1610" s="19">
        <v>0.8</v>
      </c>
      <c r="F1610" s="59">
        <v>247</v>
      </c>
      <c r="G1610" s="57"/>
      <c r="H1610" s="21"/>
      <c r="I1610" s="47"/>
      <c r="J1610" s="56">
        <v>2</v>
      </c>
      <c r="K1610" s="5"/>
      <c r="L1610" s="649">
        <f t="shared" ref="L1610" si="114">PRODUCT(C1610:K1610)</f>
        <v>395.20000000000005</v>
      </c>
    </row>
    <row r="1611" spans="2:12" ht="15">
      <c r="B1611" s="746"/>
      <c r="C1611" s="19"/>
      <c r="D1611" s="20"/>
      <c r="E1611" s="20"/>
      <c r="F1611" s="59"/>
      <c r="G1611" s="19"/>
      <c r="H1611" s="21"/>
      <c r="I1611" s="47"/>
      <c r="J1611" s="56"/>
      <c r="K1611" s="17"/>
      <c r="L1611" s="649"/>
    </row>
    <row r="1612" spans="2:12" ht="15.75">
      <c r="B1612" s="715" t="s">
        <v>782</v>
      </c>
      <c r="C1612" s="19"/>
      <c r="D1612" s="39"/>
      <c r="E1612" s="39"/>
      <c r="F1612" s="59"/>
      <c r="G1612" s="39"/>
      <c r="H1612" s="39"/>
      <c r="I1612" s="39"/>
      <c r="J1612" s="39"/>
      <c r="K1612" s="39"/>
      <c r="L1612" s="649"/>
    </row>
    <row r="1613" spans="2:12" ht="15.75">
      <c r="B1613" s="734"/>
      <c r="C1613" s="19"/>
      <c r="D1613" s="20"/>
      <c r="E1613" s="19">
        <v>0.8</v>
      </c>
      <c r="F1613" s="59">
        <v>109</v>
      </c>
      <c r="G1613" s="57"/>
      <c r="H1613" s="21"/>
      <c r="I1613" s="47"/>
      <c r="J1613" s="56">
        <v>2</v>
      </c>
      <c r="K1613" s="5"/>
      <c r="L1613" s="649">
        <f t="shared" ref="L1613" si="115">PRODUCT(C1613:K1613)</f>
        <v>174.4</v>
      </c>
    </row>
    <row r="1614" spans="2:12" ht="15.75">
      <c r="B1614" s="1002" t="s">
        <v>414</v>
      </c>
      <c r="C1614" s="1003"/>
      <c r="D1614" s="1003"/>
      <c r="E1614" s="1003"/>
      <c r="F1614" s="1003"/>
      <c r="G1614" s="1003"/>
      <c r="H1614" s="1003"/>
      <c r="I1614" s="1003"/>
      <c r="J1614" s="1003"/>
      <c r="K1614" s="1003"/>
      <c r="L1614" s="1004"/>
    </row>
    <row r="1615" spans="2:12">
      <c r="B1615" s="651"/>
      <c r="L1615" s="652"/>
    </row>
    <row r="1616" spans="2:12">
      <c r="B1616" s="651"/>
      <c r="L1616" s="652"/>
    </row>
    <row r="1617" spans="2:12" ht="15.6" customHeight="1">
      <c r="B1617" s="638" t="s">
        <v>398</v>
      </c>
      <c r="C1617" s="8">
        <v>7</v>
      </c>
      <c r="D1617" s="7" t="s">
        <v>1031</v>
      </c>
      <c r="E1617" s="7"/>
      <c r="F1617" s="7"/>
      <c r="G1617" s="7"/>
      <c r="H1617" s="7"/>
      <c r="I1617" s="7"/>
      <c r="J1617" s="7"/>
      <c r="K1617" s="27"/>
      <c r="L1617" s="750"/>
    </row>
    <row r="1618" spans="2:12" ht="15">
      <c r="B1618" s="1005"/>
      <c r="C1618" s="1006"/>
      <c r="D1618" s="1006"/>
      <c r="E1618" s="1006"/>
      <c r="F1618" s="1006"/>
      <c r="G1618" s="1006"/>
      <c r="H1618" s="1006"/>
      <c r="I1618" s="1006"/>
      <c r="J1618" s="1006"/>
      <c r="K1618" s="1006"/>
      <c r="L1618" s="1007"/>
    </row>
    <row r="1619" spans="2:12" ht="46.9" customHeight="1">
      <c r="B1619" s="733" t="s">
        <v>399</v>
      </c>
      <c r="C1619" s="25">
        <f>+'PROPUESTA ECONOMICA(Proponente)'!C97</f>
        <v>7.1</v>
      </c>
      <c r="D1619" s="12" t="str">
        <f>+VLOOKUP('MEMORIAS DE CANTIDADES'!C1619,'PROPUESTA ECONOMICA(Proponente)'!$C$21:$H$310,5,FALSE)</f>
        <v>Cubierta en lamina tipo Sándwich con aislante en poliuretano PUR expandido de alta densidad espesor 30mm, Incluye kit de fijación para cubierta, accesorio de aceros D305 - DC10 e instalación de la lamina.</v>
      </c>
      <c r="E1619" s="13"/>
      <c r="F1619" s="12"/>
      <c r="G1619" s="12"/>
      <c r="H1619" s="12"/>
      <c r="I1619" s="11" t="s">
        <v>400</v>
      </c>
      <c r="J1619" s="12" t="str">
        <f>+VLOOKUP('MEMORIAS DE CANTIDADES'!C1619,'PROPUESTA ECONOMICA(Proponente)'!$C$21:$H$310,6,FALSE)</f>
        <v>m2</v>
      </c>
      <c r="K1619" s="11" t="s">
        <v>401</v>
      </c>
      <c r="L1619" s="643">
        <f>SUM(L1620:L1627)</f>
        <v>1610.1148000000001</v>
      </c>
    </row>
    <row r="1620" spans="2:12" ht="15">
      <c r="B1620" s="644"/>
      <c r="C1620" s="16"/>
      <c r="D1620" s="15"/>
      <c r="E1620" s="15"/>
      <c r="F1620" s="15"/>
      <c r="G1620" s="15"/>
      <c r="H1620" s="15"/>
      <c r="I1620" s="15"/>
      <c r="J1620" s="15"/>
      <c r="K1620" s="17"/>
      <c r="L1620" s="645"/>
    </row>
    <row r="1621" spans="2:12" ht="47.25">
      <c r="B1621" s="646" t="s">
        <v>402</v>
      </c>
      <c r="C1621" s="18" t="s">
        <v>403</v>
      </c>
      <c r="D1621" s="18" t="s">
        <v>404</v>
      </c>
      <c r="E1621" s="18" t="s">
        <v>405</v>
      </c>
      <c r="F1621" s="18" t="s">
        <v>406</v>
      </c>
      <c r="G1621" s="18" t="s">
        <v>407</v>
      </c>
      <c r="H1621" s="5" t="s">
        <v>408</v>
      </c>
      <c r="I1621" s="18" t="s">
        <v>409</v>
      </c>
      <c r="J1621" s="5" t="s">
        <v>410</v>
      </c>
      <c r="K1621" s="5" t="s">
        <v>411</v>
      </c>
      <c r="L1621" s="647" t="s">
        <v>412</v>
      </c>
    </row>
    <row r="1622" spans="2:12" ht="15">
      <c r="B1622" s="648" t="s">
        <v>598</v>
      </c>
      <c r="C1622" s="19"/>
      <c r="D1622" s="19">
        <v>10.15</v>
      </c>
      <c r="E1622" s="19"/>
      <c r="F1622" s="19">
        <v>49.316000000000003</v>
      </c>
      <c r="G1622" s="20"/>
      <c r="H1622" s="68"/>
      <c r="I1622" s="17">
        <v>2</v>
      </c>
      <c r="J1622" s="28"/>
      <c r="K1622" s="17"/>
      <c r="L1622" s="649">
        <f>PRODUCT(C1622:K1622)</f>
        <v>1001.1148000000001</v>
      </c>
    </row>
    <row r="1623" spans="2:12" ht="15">
      <c r="B1623" s="648" t="s">
        <v>807</v>
      </c>
      <c r="C1623" s="20"/>
      <c r="D1623" s="19">
        <v>10.15</v>
      </c>
      <c r="E1623" s="19"/>
      <c r="F1623" s="19">
        <v>60</v>
      </c>
      <c r="G1623" s="20"/>
      <c r="H1623" s="68"/>
      <c r="I1623" s="17">
        <v>1</v>
      </c>
      <c r="J1623" s="19"/>
      <c r="K1623" s="17"/>
      <c r="L1623" s="649">
        <f>PRODUCT(C1623:K1623)</f>
        <v>609</v>
      </c>
    </row>
    <row r="1624" spans="2:12" ht="15">
      <c r="B1624" s="650"/>
      <c r="C1624" s="20"/>
      <c r="D1624" s="20"/>
      <c r="E1624" s="20"/>
      <c r="F1624" s="20"/>
      <c r="G1624" s="20"/>
      <c r="H1624" s="20"/>
      <c r="I1624" s="20"/>
      <c r="J1624" s="19"/>
      <c r="K1624" s="17"/>
      <c r="L1624" s="649"/>
    </row>
    <row r="1625" spans="2:12" ht="15">
      <c r="B1625" s="650"/>
      <c r="C1625" s="20"/>
      <c r="D1625" s="20"/>
      <c r="E1625" s="20"/>
      <c r="F1625" s="20"/>
      <c r="G1625" s="20"/>
      <c r="H1625" s="19"/>
      <c r="I1625" s="20"/>
      <c r="J1625" s="19"/>
      <c r="K1625" s="17"/>
      <c r="L1625" s="649"/>
    </row>
    <row r="1626" spans="2:12" ht="15">
      <c r="B1626" s="650"/>
      <c r="C1626" s="20"/>
      <c r="D1626" s="20"/>
      <c r="E1626" s="20"/>
      <c r="F1626" s="20"/>
      <c r="G1626" s="20"/>
      <c r="H1626" s="19"/>
      <c r="I1626" s="20"/>
      <c r="J1626" s="24"/>
      <c r="K1626" s="17"/>
      <c r="L1626" s="645"/>
    </row>
    <row r="1627" spans="2:12" ht="15.75">
      <c r="B1627" s="1002" t="s">
        <v>414</v>
      </c>
      <c r="C1627" s="1003"/>
      <c r="D1627" s="1003"/>
      <c r="E1627" s="1003"/>
      <c r="F1627" s="1003"/>
      <c r="G1627" s="1003"/>
      <c r="H1627" s="1003"/>
      <c r="I1627" s="1003"/>
      <c r="J1627" s="1003"/>
      <c r="K1627" s="1003"/>
      <c r="L1627" s="1004"/>
    </row>
    <row r="1628" spans="2:12">
      <c r="B1628" s="651"/>
      <c r="L1628" s="652"/>
    </row>
    <row r="1629" spans="2:12">
      <c r="B1629" s="651"/>
      <c r="L1629" s="652"/>
    </row>
    <row r="1630" spans="2:12" ht="15.75">
      <c r="B1630" s="638" t="s">
        <v>398</v>
      </c>
      <c r="C1630" s="8">
        <v>7</v>
      </c>
      <c r="D1630" s="9" t="s">
        <v>1031</v>
      </c>
      <c r="E1630" s="9"/>
      <c r="F1630" s="9"/>
      <c r="G1630" s="9"/>
      <c r="H1630" s="9"/>
      <c r="I1630" s="9"/>
      <c r="J1630" s="9"/>
      <c r="K1630" s="10"/>
      <c r="L1630" s="639"/>
    </row>
    <row r="1631" spans="2:12" ht="15">
      <c r="B1631" s="1005"/>
      <c r="C1631" s="1006"/>
      <c r="D1631" s="1006"/>
      <c r="E1631" s="1006"/>
      <c r="F1631" s="1006"/>
      <c r="G1631" s="1006"/>
      <c r="H1631" s="1006"/>
      <c r="I1631" s="1006"/>
      <c r="J1631" s="1006"/>
      <c r="K1631" s="1006"/>
      <c r="L1631" s="1007"/>
    </row>
    <row r="1632" spans="2:12" ht="47.25">
      <c r="B1632" s="733" t="s">
        <v>399</v>
      </c>
      <c r="C1632" s="25">
        <f>+'PROPUESTA ECONOMICA(Proponente)'!C98</f>
        <v>7.2</v>
      </c>
      <c r="D1632" s="12" t="str">
        <f>+VLOOKUP('MEMORIAS DE CANTIDADES'!C1632,'PROPUESTA ECONOMICA(Proponente)'!$C$21:$H$310,5,FALSE)</f>
        <v>Cubiertas metálica con estructura tubular y paneles de policarbonato alveolar traslucido gris ahumado para  Banca suplentes</v>
      </c>
      <c r="E1632" s="13"/>
      <c r="F1632" s="12"/>
      <c r="G1632" s="12"/>
      <c r="H1632" s="12"/>
      <c r="I1632" s="11" t="s">
        <v>400</v>
      </c>
      <c r="J1632" s="12" t="str">
        <f>+VLOOKUP('MEMORIAS DE CANTIDADES'!C1632,'PROPUESTA ECONOMICA(Proponente)'!$C$21:$H$310,6,FALSE)</f>
        <v>m2</v>
      </c>
      <c r="K1632" s="11" t="s">
        <v>401</v>
      </c>
      <c r="L1632" s="643">
        <f>SUM(L1633:L1640)</f>
        <v>26</v>
      </c>
    </row>
    <row r="1633" spans="2:12" ht="15">
      <c r="B1633" s="644"/>
      <c r="C1633" s="16"/>
      <c r="D1633" s="15"/>
      <c r="E1633" s="15"/>
      <c r="F1633" s="15"/>
      <c r="G1633" s="15"/>
      <c r="H1633" s="15"/>
      <c r="I1633" s="15"/>
      <c r="J1633" s="15"/>
      <c r="K1633" s="17"/>
      <c r="L1633" s="645"/>
    </row>
    <row r="1634" spans="2:12" ht="47.25">
      <c r="B1634" s="646" t="s">
        <v>402</v>
      </c>
      <c r="C1634" s="18" t="s">
        <v>403</v>
      </c>
      <c r="D1634" s="18" t="s">
        <v>404</v>
      </c>
      <c r="E1634" s="18" t="s">
        <v>405</v>
      </c>
      <c r="F1634" s="18" t="s">
        <v>406</v>
      </c>
      <c r="G1634" s="18" t="s">
        <v>407</v>
      </c>
      <c r="H1634" s="5" t="s">
        <v>408</v>
      </c>
      <c r="I1634" s="18" t="s">
        <v>409</v>
      </c>
      <c r="J1634" s="5" t="s">
        <v>410</v>
      </c>
      <c r="K1634" s="5" t="s">
        <v>411</v>
      </c>
      <c r="L1634" s="647" t="s">
        <v>412</v>
      </c>
    </row>
    <row r="1635" spans="2:12" ht="15">
      <c r="B1635" s="648" t="s">
        <v>734</v>
      </c>
      <c r="C1635" s="19">
        <v>13</v>
      </c>
      <c r="D1635" s="19"/>
      <c r="E1635" s="19"/>
      <c r="F1635" s="19"/>
      <c r="G1635" s="20"/>
      <c r="H1635" s="68"/>
      <c r="I1635" s="17">
        <v>2</v>
      </c>
      <c r="J1635" s="22"/>
      <c r="K1635" s="17"/>
      <c r="L1635" s="649">
        <f>PRODUCT(C1635:K1635)</f>
        <v>26</v>
      </c>
    </row>
    <row r="1636" spans="2:12" ht="15">
      <c r="B1636" s="648"/>
      <c r="C1636" s="20"/>
      <c r="D1636" s="19"/>
      <c r="E1636" s="19"/>
      <c r="F1636" s="19"/>
      <c r="G1636" s="20"/>
      <c r="H1636" s="68"/>
      <c r="I1636" s="17"/>
      <c r="J1636" s="24"/>
      <c r="K1636" s="17"/>
      <c r="L1636" s="649">
        <f t="shared" ref="L1636" si="116">PRODUCT(C1636:K1636)</f>
        <v>0</v>
      </c>
    </row>
    <row r="1637" spans="2:12" ht="15">
      <c r="B1637" s="650"/>
      <c r="C1637" s="20"/>
      <c r="D1637" s="20"/>
      <c r="E1637" s="20"/>
      <c r="F1637" s="20"/>
      <c r="G1637" s="20"/>
      <c r="H1637" s="20"/>
      <c r="I1637" s="20"/>
      <c r="J1637" s="24"/>
      <c r="K1637" s="17"/>
      <c r="L1637" s="649"/>
    </row>
    <row r="1638" spans="2:12" ht="15">
      <c r="B1638" s="650"/>
      <c r="C1638" s="20"/>
      <c r="D1638" s="20"/>
      <c r="E1638" s="20"/>
      <c r="F1638" s="20"/>
      <c r="G1638" s="20"/>
      <c r="H1638" s="19"/>
      <c r="I1638" s="20"/>
      <c r="J1638" s="24"/>
      <c r="K1638" s="17"/>
      <c r="L1638" s="649"/>
    </row>
    <row r="1639" spans="2:12" ht="15">
      <c r="B1639" s="650"/>
      <c r="C1639" s="20"/>
      <c r="D1639" s="20"/>
      <c r="E1639" s="20"/>
      <c r="F1639" s="20"/>
      <c r="G1639" s="20"/>
      <c r="H1639" s="19"/>
      <c r="I1639" s="20"/>
      <c r="J1639" s="24"/>
      <c r="K1639" s="17"/>
      <c r="L1639" s="645"/>
    </row>
    <row r="1640" spans="2:12" ht="15.75">
      <c r="B1640" s="1002" t="s">
        <v>414</v>
      </c>
      <c r="C1640" s="1003"/>
      <c r="D1640" s="1003"/>
      <c r="E1640" s="1003"/>
      <c r="F1640" s="1003"/>
      <c r="G1640" s="1003"/>
      <c r="H1640" s="1003"/>
      <c r="I1640" s="1003"/>
      <c r="J1640" s="1003"/>
      <c r="K1640" s="1003"/>
      <c r="L1640" s="1004"/>
    </row>
    <row r="1641" spans="2:12">
      <c r="B1641" s="651"/>
      <c r="L1641" s="652"/>
    </row>
    <row r="1642" spans="2:12" ht="15.75">
      <c r="B1642" s="638" t="s">
        <v>398</v>
      </c>
      <c r="C1642" s="8">
        <v>7</v>
      </c>
      <c r="D1642" s="9" t="s">
        <v>1031</v>
      </c>
      <c r="E1642" s="9"/>
      <c r="F1642" s="9"/>
      <c r="G1642" s="9"/>
      <c r="H1642" s="9"/>
      <c r="I1642" s="9"/>
      <c r="J1642" s="9"/>
      <c r="K1642" s="10"/>
      <c r="L1642" s="639"/>
    </row>
    <row r="1643" spans="2:12" ht="15">
      <c r="B1643" s="1005"/>
      <c r="C1643" s="1006"/>
      <c r="D1643" s="1006"/>
      <c r="E1643" s="1006"/>
      <c r="F1643" s="1006"/>
      <c r="G1643" s="1006"/>
      <c r="H1643" s="1006"/>
      <c r="I1643" s="1006"/>
      <c r="J1643" s="1006"/>
      <c r="K1643" s="1006"/>
      <c r="L1643" s="1007"/>
    </row>
    <row r="1644" spans="2:12" ht="47.25">
      <c r="B1644" s="733" t="s">
        <v>399</v>
      </c>
      <c r="C1644" s="25">
        <f>+'PROPUESTA ECONOMICA(Proponente)'!C99</f>
        <v>7.3</v>
      </c>
      <c r="D1644" s="12" t="str">
        <f>+VLOOKUP('MEMORIAS DE CANTIDADES'!C1644,'PROPUESTA ECONOMICA(Proponente)'!$C$21:$H$310,5,FALSE)</f>
        <v>Impermeabilización de cubierta plana con manto edil 3mm con foil de aluminio (incluye suministro e instalación)</v>
      </c>
      <c r="E1644" s="13"/>
      <c r="F1644" s="12"/>
      <c r="G1644" s="12"/>
      <c r="H1644" s="12"/>
      <c r="I1644" s="11" t="s">
        <v>400</v>
      </c>
      <c r="J1644" s="12" t="str">
        <f>+VLOOKUP('MEMORIAS DE CANTIDADES'!C1644,'PROPUESTA ECONOMICA(Proponente)'!$C$21:$H$310,6,FALSE)</f>
        <v>m2</v>
      </c>
      <c r="K1644" s="11" t="s">
        <v>401</v>
      </c>
      <c r="L1644" s="643">
        <f>SUM(L1645:L1654)</f>
        <v>673.59999999999991</v>
      </c>
    </row>
    <row r="1645" spans="2:12" ht="15">
      <c r="B1645" s="644"/>
      <c r="C1645" s="16"/>
      <c r="D1645" s="15"/>
      <c r="E1645" s="15"/>
      <c r="F1645" s="15"/>
      <c r="G1645" s="15"/>
      <c r="H1645" s="15"/>
      <c r="I1645" s="15"/>
      <c r="J1645" s="15"/>
      <c r="K1645" s="17"/>
      <c r="L1645" s="645"/>
    </row>
    <row r="1646" spans="2:12" ht="47.25">
      <c r="B1646" s="646" t="s">
        <v>402</v>
      </c>
      <c r="C1646" s="18" t="s">
        <v>403</v>
      </c>
      <c r="D1646" s="18" t="s">
        <v>404</v>
      </c>
      <c r="E1646" s="18" t="s">
        <v>405</v>
      </c>
      <c r="F1646" s="18" t="s">
        <v>406</v>
      </c>
      <c r="G1646" s="18" t="s">
        <v>407</v>
      </c>
      <c r="H1646" s="5" t="s">
        <v>408</v>
      </c>
      <c r="I1646" s="18" t="s">
        <v>409</v>
      </c>
      <c r="J1646" s="5" t="s">
        <v>410</v>
      </c>
      <c r="K1646" s="5" t="s">
        <v>411</v>
      </c>
      <c r="L1646" s="647" t="s">
        <v>412</v>
      </c>
    </row>
    <row r="1647" spans="2:12" ht="15">
      <c r="B1647" s="648" t="s">
        <v>938</v>
      </c>
      <c r="C1647" s="19"/>
      <c r="D1647" s="19">
        <v>6.4</v>
      </c>
      <c r="E1647" s="19"/>
      <c r="F1647" s="19">
        <v>23.1</v>
      </c>
      <c r="G1647" s="20"/>
      <c r="H1647" s="68"/>
      <c r="I1647" s="17">
        <v>2</v>
      </c>
      <c r="J1647" s="22"/>
      <c r="K1647" s="17"/>
      <c r="L1647" s="649">
        <f>PRODUCT(C1647:K1647)</f>
        <v>295.68</v>
      </c>
    </row>
    <row r="1648" spans="2:12" ht="15">
      <c r="B1648" s="648" t="s">
        <v>939</v>
      </c>
      <c r="C1648" s="19"/>
      <c r="D1648" s="19">
        <v>4.5999999999999996</v>
      </c>
      <c r="E1648" s="19"/>
      <c r="F1648" s="19">
        <v>6.6</v>
      </c>
      <c r="G1648" s="20"/>
      <c r="H1648" s="68"/>
      <c r="I1648" s="17">
        <v>2</v>
      </c>
      <c r="J1648" s="22"/>
      <c r="K1648" s="17"/>
      <c r="L1648" s="649">
        <f>PRODUCT(C1648:K1648)</f>
        <v>60.719999999999992</v>
      </c>
    </row>
    <row r="1649" spans="2:12" ht="15">
      <c r="B1649" s="648" t="s">
        <v>594</v>
      </c>
      <c r="C1649" s="20">
        <f>104+53*0.2</f>
        <v>114.6</v>
      </c>
      <c r="D1649" s="19"/>
      <c r="E1649" s="19"/>
      <c r="F1649" s="19"/>
      <c r="G1649" s="20"/>
      <c r="H1649" s="68"/>
      <c r="I1649" s="17">
        <v>2</v>
      </c>
      <c r="J1649" s="24"/>
      <c r="K1649" s="17"/>
      <c r="L1649" s="649">
        <f>PRODUCT(C1649:K1649)</f>
        <v>229.2</v>
      </c>
    </row>
    <row r="1650" spans="2:12" ht="15">
      <c r="B1650" s="650" t="s">
        <v>536</v>
      </c>
      <c r="C1650" s="20"/>
      <c r="D1650" s="20">
        <v>5.5</v>
      </c>
      <c r="E1650" s="20"/>
      <c r="F1650" s="20">
        <f>3.5+0.5</f>
        <v>4</v>
      </c>
      <c r="G1650" s="20"/>
      <c r="H1650" s="20"/>
      <c r="I1650" s="20"/>
      <c r="J1650" s="24"/>
      <c r="K1650" s="17"/>
      <c r="L1650" s="649">
        <f t="shared" ref="L1650:L1652" si="117">PRODUCT(C1650:K1650)</f>
        <v>22</v>
      </c>
    </row>
    <row r="1651" spans="2:12" ht="15">
      <c r="B1651" s="650" t="s">
        <v>537</v>
      </c>
      <c r="C1651" s="20"/>
      <c r="D1651" s="20">
        <v>5.5</v>
      </c>
      <c r="E1651" s="20"/>
      <c r="F1651" s="20">
        <f t="shared" ref="F1651:F1652" si="118">3.5+0.5</f>
        <v>4</v>
      </c>
      <c r="G1651" s="20"/>
      <c r="H1651" s="19"/>
      <c r="I1651" s="20"/>
      <c r="J1651" s="24"/>
      <c r="K1651" s="17"/>
      <c r="L1651" s="649">
        <f t="shared" si="117"/>
        <v>22</v>
      </c>
    </row>
    <row r="1652" spans="2:12" ht="15">
      <c r="B1652" s="650" t="s">
        <v>528</v>
      </c>
      <c r="C1652" s="20"/>
      <c r="D1652" s="20">
        <v>5.5</v>
      </c>
      <c r="E1652" s="20"/>
      <c r="F1652" s="20">
        <f t="shared" si="118"/>
        <v>4</v>
      </c>
      <c r="G1652" s="20"/>
      <c r="H1652" s="19"/>
      <c r="I1652" s="20">
        <v>2</v>
      </c>
      <c r="J1652" s="24"/>
      <c r="K1652" s="17"/>
      <c r="L1652" s="649">
        <f t="shared" si="117"/>
        <v>44</v>
      </c>
    </row>
    <row r="1653" spans="2:12" ht="15">
      <c r="B1653" s="650"/>
      <c r="C1653" s="20"/>
      <c r="D1653" s="20"/>
      <c r="E1653" s="20"/>
      <c r="F1653" s="20"/>
      <c r="G1653" s="20"/>
      <c r="H1653" s="19"/>
      <c r="I1653" s="20"/>
      <c r="J1653" s="24"/>
      <c r="K1653" s="17"/>
      <c r="L1653" s="649"/>
    </row>
    <row r="1654" spans="2:12" ht="15.75">
      <c r="B1654" s="1002" t="s">
        <v>414</v>
      </c>
      <c r="C1654" s="1003"/>
      <c r="D1654" s="1003"/>
      <c r="E1654" s="1003"/>
      <c r="F1654" s="1003"/>
      <c r="G1654" s="1003"/>
      <c r="H1654" s="1003"/>
      <c r="I1654" s="1003"/>
      <c r="J1654" s="1003"/>
      <c r="K1654" s="1003"/>
      <c r="L1654" s="1004"/>
    </row>
    <row r="1655" spans="2:12">
      <c r="B1655" s="651"/>
      <c r="L1655" s="652"/>
    </row>
    <row r="1656" spans="2:12">
      <c r="B1656" s="651"/>
      <c r="L1656" s="652"/>
    </row>
    <row r="1657" spans="2:12" ht="15.75">
      <c r="B1657" s="638" t="s">
        <v>398</v>
      </c>
      <c r="C1657" s="8">
        <v>9</v>
      </c>
      <c r="D1657" s="9" t="s">
        <v>1032</v>
      </c>
      <c r="E1657" s="9"/>
      <c r="F1657" s="9"/>
      <c r="G1657" s="9"/>
      <c r="H1657" s="9"/>
      <c r="I1657" s="9"/>
      <c r="J1657" s="9"/>
      <c r="K1657" s="10"/>
      <c r="L1657" s="639"/>
    </row>
    <row r="1658" spans="2:12" ht="15">
      <c r="B1658" s="640"/>
      <c r="C1658" s="579"/>
      <c r="D1658" s="579"/>
      <c r="E1658" s="579"/>
      <c r="F1658" s="579"/>
      <c r="G1658" s="579"/>
      <c r="H1658" s="579"/>
      <c r="I1658" s="579"/>
      <c r="J1658" s="579"/>
      <c r="K1658" s="579"/>
      <c r="L1658" s="641"/>
    </row>
    <row r="1659" spans="2:12" ht="31.5">
      <c r="B1659" s="733" t="s">
        <v>399</v>
      </c>
      <c r="C1659" s="25">
        <f>+'PROPUESTA ECONOMICA(Proponente)'!C169</f>
        <v>9.1</v>
      </c>
      <c r="D1659" s="12" t="str">
        <f>+VLOOKUP('MEMORIAS DE CANTIDADES'!C1659,'PROPUESTA ECONOMICA(Proponente)'!$C$21:$H$310,5,FALSE)</f>
        <v>EXCAVACIONES : (Excavación manual incluye cargue, transporte y disposición final).</v>
      </c>
      <c r="E1659" s="13"/>
      <c r="F1659" s="12"/>
      <c r="G1659" s="12"/>
      <c r="H1659" s="12"/>
      <c r="I1659" s="11" t="s">
        <v>400</v>
      </c>
      <c r="J1659" s="12" t="str">
        <f>+VLOOKUP('MEMORIAS DE CANTIDADES'!C1659,'PROPUESTA ECONOMICA(Proponente)'!$C$21:$H$310,6,FALSE)</f>
        <v>m3</v>
      </c>
      <c r="K1659" s="11" t="s">
        <v>401</v>
      </c>
      <c r="L1659" s="643">
        <f>SUM(L1660:L1678)</f>
        <v>256.83</v>
      </c>
    </row>
    <row r="1660" spans="2:12" ht="15">
      <c r="B1660" s="644"/>
      <c r="C1660" s="16"/>
      <c r="D1660" s="15"/>
      <c r="E1660" s="15"/>
      <c r="F1660" s="15"/>
      <c r="G1660" s="15"/>
      <c r="H1660" s="15"/>
      <c r="I1660" s="15"/>
      <c r="J1660" s="15"/>
      <c r="K1660" s="17"/>
      <c r="L1660" s="645"/>
    </row>
    <row r="1661" spans="2:12" ht="47.25">
      <c r="B1661" s="646" t="s">
        <v>402</v>
      </c>
      <c r="C1661" s="18" t="s">
        <v>403</v>
      </c>
      <c r="D1661" s="18" t="s">
        <v>404</v>
      </c>
      <c r="E1661" s="18" t="s">
        <v>405</v>
      </c>
      <c r="F1661" s="18" t="s">
        <v>406</v>
      </c>
      <c r="G1661" s="18" t="s">
        <v>407</v>
      </c>
      <c r="H1661" s="5" t="s">
        <v>408</v>
      </c>
      <c r="I1661" s="18" t="s">
        <v>409</v>
      </c>
      <c r="J1661" s="5" t="s">
        <v>410</v>
      </c>
      <c r="K1661" s="5" t="s">
        <v>411</v>
      </c>
      <c r="L1661" s="647" t="s">
        <v>412</v>
      </c>
    </row>
    <row r="1662" spans="2:12" ht="15.75">
      <c r="B1662" s="759" t="s">
        <v>598</v>
      </c>
      <c r="C1662" s="19"/>
      <c r="D1662" s="19"/>
      <c r="E1662" s="19"/>
      <c r="F1662" s="19"/>
      <c r="G1662" s="20"/>
      <c r="H1662" s="68"/>
      <c r="I1662" s="17"/>
      <c r="J1662" s="28"/>
      <c r="K1662" s="17"/>
      <c r="L1662" s="649"/>
    </row>
    <row r="1663" spans="2:12" ht="15">
      <c r="B1663" s="650" t="s">
        <v>538</v>
      </c>
      <c r="C1663" s="19">
        <v>177</v>
      </c>
      <c r="D1663" s="19"/>
      <c r="E1663" s="19">
        <v>0.3</v>
      </c>
      <c r="F1663" s="19"/>
      <c r="G1663" s="20"/>
      <c r="H1663" s="68"/>
      <c r="I1663" s="17"/>
      <c r="J1663" s="69"/>
      <c r="K1663" s="17"/>
      <c r="L1663" s="649">
        <f>PRODUCT(C1663:K1663)</f>
        <v>53.1</v>
      </c>
    </row>
    <row r="1664" spans="2:12" ht="15">
      <c r="B1664" s="650" t="s">
        <v>539</v>
      </c>
      <c r="C1664" s="19">
        <v>177</v>
      </c>
      <c r="D1664" s="20"/>
      <c r="E1664" s="19">
        <v>0.3</v>
      </c>
      <c r="F1664" s="20"/>
      <c r="G1664" s="20"/>
      <c r="H1664" s="20"/>
      <c r="I1664" s="20"/>
      <c r="J1664" s="69"/>
      <c r="K1664" s="17"/>
      <c r="L1664" s="649">
        <f t="shared" ref="L1664" si="119">PRODUCT(C1664:K1664)</f>
        <v>53.1</v>
      </c>
    </row>
    <row r="1665" spans="2:12" ht="15.75">
      <c r="B1665" s="759" t="s">
        <v>659</v>
      </c>
      <c r="C1665" s="19"/>
      <c r="D1665" s="20"/>
      <c r="E1665" s="19"/>
      <c r="F1665" s="20"/>
      <c r="G1665" s="20"/>
      <c r="H1665" s="19"/>
      <c r="I1665" s="20"/>
      <c r="J1665" s="19"/>
      <c r="K1665" s="17"/>
      <c r="L1665" s="649"/>
    </row>
    <row r="1666" spans="2:12" ht="15">
      <c r="B1666" s="650" t="s">
        <v>538</v>
      </c>
      <c r="C1666" s="19">
        <v>209</v>
      </c>
      <c r="D1666" s="20"/>
      <c r="E1666" s="19">
        <v>0.3</v>
      </c>
      <c r="F1666" s="20"/>
      <c r="G1666" s="20"/>
      <c r="H1666" s="19"/>
      <c r="I1666" s="20"/>
      <c r="J1666" s="19"/>
      <c r="K1666" s="17"/>
      <c r="L1666" s="649">
        <f t="shared" ref="L1666:L1670" si="120">PRODUCT(C1666:K1666)</f>
        <v>62.699999999999996</v>
      </c>
    </row>
    <row r="1667" spans="2:12" ht="15">
      <c r="B1667" s="650" t="s">
        <v>539</v>
      </c>
      <c r="C1667" s="137"/>
      <c r="D1667" s="39"/>
      <c r="E1667" s="39"/>
      <c r="F1667" s="39"/>
      <c r="G1667" s="20"/>
      <c r="H1667" s="19"/>
      <c r="I1667" s="20"/>
      <c r="J1667" s="19"/>
      <c r="K1667" s="17"/>
      <c r="L1667" s="649"/>
    </row>
    <row r="1668" spans="2:12" ht="15.75">
      <c r="B1668" s="759" t="s">
        <v>594</v>
      </c>
      <c r="C1668" s="137"/>
      <c r="D1668" s="39"/>
      <c r="E1668" s="39"/>
      <c r="F1668" s="39"/>
      <c r="G1668" s="20"/>
      <c r="H1668" s="19"/>
      <c r="I1668" s="20"/>
      <c r="J1668" s="19"/>
      <c r="K1668" s="17"/>
      <c r="L1668" s="649"/>
    </row>
    <row r="1669" spans="2:12" ht="15">
      <c r="B1669" s="650" t="s">
        <v>538</v>
      </c>
      <c r="C1669" s="19">
        <v>100</v>
      </c>
      <c r="D1669" s="20"/>
      <c r="E1669" s="19">
        <v>0.3</v>
      </c>
      <c r="F1669" s="20"/>
      <c r="G1669" s="20"/>
      <c r="H1669" s="19"/>
      <c r="I1669" s="20"/>
      <c r="J1669" s="19"/>
      <c r="K1669" s="17"/>
      <c r="L1669" s="649">
        <f t="shared" si="120"/>
        <v>30</v>
      </c>
    </row>
    <row r="1670" spans="2:12" ht="15">
      <c r="B1670" s="650" t="s">
        <v>539</v>
      </c>
      <c r="C1670" s="19">
        <v>100</v>
      </c>
      <c r="D1670" s="20"/>
      <c r="E1670" s="19">
        <v>0.3</v>
      </c>
      <c r="F1670" s="20"/>
      <c r="G1670" s="20"/>
      <c r="H1670" s="19"/>
      <c r="I1670" s="20"/>
      <c r="J1670" s="19"/>
      <c r="K1670" s="17"/>
      <c r="L1670" s="649">
        <f t="shared" si="120"/>
        <v>30</v>
      </c>
    </row>
    <row r="1671" spans="2:12" ht="15">
      <c r="B1671" s="650"/>
      <c r="C1671" s="20"/>
      <c r="D1671" s="20"/>
      <c r="E1671" s="19"/>
      <c r="F1671" s="20"/>
      <c r="G1671" s="20"/>
      <c r="H1671" s="19"/>
      <c r="I1671" s="20"/>
      <c r="J1671" s="19"/>
      <c r="K1671" s="17"/>
      <c r="L1671" s="649"/>
    </row>
    <row r="1672" spans="2:12" ht="15.75">
      <c r="B1672" s="760" t="s">
        <v>555</v>
      </c>
      <c r="C1672" s="20">
        <v>17.5</v>
      </c>
      <c r="D1672" s="20"/>
      <c r="E1672" s="19">
        <v>0.3</v>
      </c>
      <c r="F1672" s="20"/>
      <c r="G1672" s="20"/>
      <c r="H1672" s="19"/>
      <c r="I1672" s="19">
        <v>2</v>
      </c>
      <c r="J1672" s="19"/>
      <c r="K1672" s="17"/>
      <c r="L1672" s="649">
        <f>PRODUCT(C1672:K1672)</f>
        <v>10.5</v>
      </c>
    </row>
    <row r="1673" spans="2:12" ht="15.75">
      <c r="B1673" s="760"/>
      <c r="C1673" s="20"/>
      <c r="D1673" s="20"/>
      <c r="E1673" s="19"/>
      <c r="F1673" s="20"/>
      <c r="G1673" s="20"/>
      <c r="H1673" s="19"/>
      <c r="I1673" s="19"/>
      <c r="J1673" s="19"/>
      <c r="K1673" s="17"/>
      <c r="L1673" s="649"/>
    </row>
    <row r="1674" spans="2:12" ht="15.75">
      <c r="B1674" s="760"/>
      <c r="C1674" s="20"/>
      <c r="D1674" s="20"/>
      <c r="E1674" s="19"/>
      <c r="F1674" s="20"/>
      <c r="G1674" s="20"/>
      <c r="H1674" s="19"/>
      <c r="I1674" s="19"/>
      <c r="J1674" s="19"/>
      <c r="K1674" s="17"/>
      <c r="L1674" s="649"/>
    </row>
    <row r="1675" spans="2:12" ht="15.75">
      <c r="B1675" s="764" t="s">
        <v>528</v>
      </c>
      <c r="C1675" s="20"/>
      <c r="D1675" s="20">
        <v>3.5</v>
      </c>
      <c r="E1675" s="20">
        <v>0.3</v>
      </c>
      <c r="F1675" s="20">
        <v>4.1500000000000004</v>
      </c>
      <c r="G1675" s="20"/>
      <c r="H1675" s="19"/>
      <c r="I1675" s="20"/>
      <c r="J1675" s="19">
        <v>2</v>
      </c>
      <c r="K1675" s="28"/>
      <c r="L1675" s="649">
        <f>PRODUCT(C1675:K1675)</f>
        <v>8.7150000000000016</v>
      </c>
    </row>
    <row r="1676" spans="2:12" ht="15.75">
      <c r="B1676" s="764" t="s">
        <v>529</v>
      </c>
      <c r="C1676" s="20"/>
      <c r="D1676" s="20">
        <v>3.5</v>
      </c>
      <c r="E1676" s="20">
        <v>0.3</v>
      </c>
      <c r="F1676" s="20">
        <v>4.1500000000000004</v>
      </c>
      <c r="G1676" s="20"/>
      <c r="H1676" s="19"/>
      <c r="I1676" s="20"/>
      <c r="J1676" s="19"/>
      <c r="K1676" s="28"/>
      <c r="L1676" s="649">
        <f>PRODUCT(C1676:K1676)</f>
        <v>4.3575000000000008</v>
      </c>
    </row>
    <row r="1677" spans="2:12" ht="15.75">
      <c r="B1677" s="764" t="s">
        <v>530</v>
      </c>
      <c r="C1677" s="20"/>
      <c r="D1677" s="20">
        <v>3.5</v>
      </c>
      <c r="E1677" s="20">
        <v>0.3</v>
      </c>
      <c r="F1677" s="20">
        <v>4.1500000000000004</v>
      </c>
      <c r="G1677" s="20"/>
      <c r="H1677" s="19"/>
      <c r="I1677" s="20"/>
      <c r="J1677" s="19"/>
      <c r="K1677" s="28"/>
      <c r="L1677" s="649">
        <f>PRODUCT(C1677:K1677)</f>
        <v>4.3575000000000008</v>
      </c>
    </row>
    <row r="1678" spans="2:12" ht="15.75">
      <c r="B1678" s="1002"/>
      <c r="C1678" s="1003"/>
      <c r="D1678" s="1003"/>
      <c r="E1678" s="1003"/>
      <c r="F1678" s="1003"/>
      <c r="G1678" s="1003"/>
      <c r="H1678" s="1003"/>
      <c r="I1678" s="1003"/>
      <c r="J1678" s="1003"/>
      <c r="K1678" s="1003"/>
      <c r="L1678" s="1004"/>
    </row>
    <row r="1679" spans="2:12">
      <c r="B1679" s="651"/>
      <c r="L1679" s="652"/>
    </row>
    <row r="1680" spans="2:12" ht="15.75">
      <c r="B1680" s="638" t="s">
        <v>398</v>
      </c>
      <c r="C1680" s="8">
        <v>9</v>
      </c>
      <c r="D1680" s="9" t="s">
        <v>1032</v>
      </c>
      <c r="E1680" s="9"/>
      <c r="F1680" s="9"/>
      <c r="G1680" s="9"/>
      <c r="H1680" s="9"/>
      <c r="I1680" s="9"/>
      <c r="J1680" s="9"/>
      <c r="K1680" s="10"/>
      <c r="L1680" s="639"/>
    </row>
    <row r="1681" spans="2:12" ht="15">
      <c r="B1681" s="640"/>
      <c r="C1681" s="579"/>
      <c r="D1681" s="579"/>
      <c r="E1681" s="579"/>
      <c r="F1681" s="579"/>
      <c r="G1681" s="579"/>
      <c r="H1681" s="579"/>
      <c r="I1681" s="579"/>
      <c r="J1681" s="579"/>
      <c r="K1681" s="579"/>
      <c r="L1681" s="641"/>
    </row>
    <row r="1682" spans="2:12" ht="78.75">
      <c r="B1682" s="765" t="s">
        <v>399</v>
      </c>
      <c r="C1682" s="25">
        <f>+'PROPUESTA ECONOMICA(Proponente)'!C170</f>
        <v>9.1999999999999993</v>
      </c>
      <c r="D1682" s="12" t="str">
        <f>+VLOOKUP('MEMORIAS DE CANTIDADES'!C1682,'PROPUESTA ECONOMICA(Proponente)'!$C$21:$H$310,5,FALSE)</f>
        <v>RELLENO SELECCIONADO: Relleno compactado con material seleccionado, zahorra al 95% del Proctor estándar en cimentación. (suministro, humedecimiento y compactación).</v>
      </c>
      <c r="E1682" s="13"/>
      <c r="F1682" s="12"/>
      <c r="G1682" s="12"/>
      <c r="H1682" s="12"/>
      <c r="I1682" s="11" t="s">
        <v>400</v>
      </c>
      <c r="J1682" s="12" t="str">
        <f>+VLOOKUP('MEMORIAS DE CANTIDADES'!C1682,'PROPUESTA ECONOMICA(Proponente)'!$C$21:$H$310,6,FALSE)</f>
        <v>m3</v>
      </c>
      <c r="K1682" s="11" t="s">
        <v>401</v>
      </c>
      <c r="L1682" s="643">
        <f>SUM(L1683:L1703)</f>
        <v>606.06700000000012</v>
      </c>
    </row>
    <row r="1683" spans="2:12" ht="15">
      <c r="B1683" s="644"/>
      <c r="C1683" s="16"/>
      <c r="D1683" s="15"/>
      <c r="E1683" s="15"/>
      <c r="F1683" s="15"/>
      <c r="G1683" s="15"/>
      <c r="H1683" s="15"/>
      <c r="I1683" s="15"/>
      <c r="J1683" s="15"/>
      <c r="K1683" s="17"/>
      <c r="L1683" s="645"/>
    </row>
    <row r="1684" spans="2:12" ht="47.25">
      <c r="B1684" s="646" t="s">
        <v>402</v>
      </c>
      <c r="C1684" s="18" t="s">
        <v>403</v>
      </c>
      <c r="D1684" s="18" t="s">
        <v>404</v>
      </c>
      <c r="E1684" s="18" t="s">
        <v>405</v>
      </c>
      <c r="F1684" s="18" t="s">
        <v>406</v>
      </c>
      <c r="G1684" s="18" t="s">
        <v>407</v>
      </c>
      <c r="H1684" s="5" t="s">
        <v>408</v>
      </c>
      <c r="I1684" s="18" t="s">
        <v>409</v>
      </c>
      <c r="J1684" s="5" t="s">
        <v>410</v>
      </c>
      <c r="K1684" s="5" t="s">
        <v>411</v>
      </c>
      <c r="L1684" s="647" t="s">
        <v>412</v>
      </c>
    </row>
    <row r="1685" spans="2:12" ht="15.75">
      <c r="B1685" s="759" t="s">
        <v>598</v>
      </c>
      <c r="C1685" s="19"/>
      <c r="D1685" s="19"/>
      <c r="E1685" s="19"/>
      <c r="F1685" s="19"/>
      <c r="G1685" s="20"/>
      <c r="H1685" s="68"/>
      <c r="I1685" s="17"/>
      <c r="J1685" s="28"/>
      <c r="K1685" s="17"/>
      <c r="L1685" s="649"/>
    </row>
    <row r="1686" spans="2:12" ht="15">
      <c r="B1686" s="650" t="s">
        <v>538</v>
      </c>
      <c r="C1686" s="20">
        <v>177</v>
      </c>
      <c r="D1686" s="19"/>
      <c r="E1686" s="19">
        <v>0.7</v>
      </c>
      <c r="F1686" s="19"/>
      <c r="G1686" s="20"/>
      <c r="H1686" s="68"/>
      <c r="I1686" s="17"/>
      <c r="J1686" s="69"/>
      <c r="K1686" s="17">
        <v>1.1000000000000001</v>
      </c>
      <c r="L1686" s="649">
        <f>PRODUCT(C1686:K1686)</f>
        <v>136.29</v>
      </c>
    </row>
    <row r="1687" spans="2:12" ht="15">
      <c r="B1687" s="650" t="s">
        <v>539</v>
      </c>
      <c r="C1687" s="20">
        <v>179</v>
      </c>
      <c r="D1687" s="20"/>
      <c r="E1687" s="19">
        <v>0.7</v>
      </c>
      <c r="F1687" s="20"/>
      <c r="G1687" s="20"/>
      <c r="H1687" s="20"/>
      <c r="I1687" s="20"/>
      <c r="J1687" s="69"/>
      <c r="K1687" s="17">
        <v>1.1000000000000001</v>
      </c>
      <c r="L1687" s="649">
        <f>PRODUCT(C1687:K1687)</f>
        <v>137.83000000000001</v>
      </c>
    </row>
    <row r="1688" spans="2:12" ht="15.75">
      <c r="B1688" s="759" t="s">
        <v>659</v>
      </c>
      <c r="C1688" s="20"/>
      <c r="D1688" s="20"/>
      <c r="E1688" s="19"/>
      <c r="F1688" s="20"/>
      <c r="G1688" s="20"/>
      <c r="H1688" s="19"/>
      <c r="I1688" s="20"/>
      <c r="J1688" s="19"/>
      <c r="K1688" s="17"/>
      <c r="L1688" s="649"/>
    </row>
    <row r="1689" spans="2:12" ht="15">
      <c r="B1689" s="650" t="s">
        <v>538</v>
      </c>
      <c r="C1689" s="20">
        <v>209</v>
      </c>
      <c r="D1689" s="20"/>
      <c r="E1689" s="19">
        <v>0.7</v>
      </c>
      <c r="F1689" s="20"/>
      <c r="G1689" s="20"/>
      <c r="H1689" s="19"/>
      <c r="I1689" s="20"/>
      <c r="J1689" s="19"/>
      <c r="K1689" s="17">
        <v>1.1000000000000001</v>
      </c>
      <c r="L1689" s="649">
        <f>PRODUCT(C1689:K1689)</f>
        <v>160.93</v>
      </c>
    </row>
    <row r="1690" spans="2:12" ht="15">
      <c r="B1690" s="650" t="s">
        <v>539</v>
      </c>
      <c r="C1690" s="39"/>
      <c r="D1690" s="39"/>
      <c r="E1690" s="137"/>
      <c r="F1690" s="39"/>
      <c r="G1690" s="20"/>
      <c r="H1690" s="19"/>
      <c r="I1690" s="20"/>
      <c r="J1690" s="19"/>
      <c r="K1690" s="17"/>
      <c r="L1690" s="649"/>
    </row>
    <row r="1691" spans="2:12" ht="15.75">
      <c r="B1691" s="759" t="s">
        <v>594</v>
      </c>
      <c r="C1691" s="39"/>
      <c r="D1691" s="39"/>
      <c r="E1691" s="137"/>
      <c r="F1691" s="39"/>
      <c r="G1691" s="20"/>
      <c r="H1691" s="19"/>
      <c r="I1691" s="20"/>
      <c r="J1691" s="19"/>
      <c r="K1691" s="17"/>
      <c r="L1691" s="649"/>
    </row>
    <row r="1692" spans="2:12" ht="15">
      <c r="B1692" s="650" t="s">
        <v>538</v>
      </c>
      <c r="C1692" s="20">
        <v>82</v>
      </c>
      <c r="D1692" s="20"/>
      <c r="E1692" s="19">
        <v>0.7</v>
      </c>
      <c r="F1692" s="20"/>
      <c r="G1692" s="20"/>
      <c r="H1692" s="19"/>
      <c r="I1692" s="20"/>
      <c r="J1692" s="19"/>
      <c r="K1692" s="17">
        <v>1.1000000000000001</v>
      </c>
      <c r="L1692" s="649">
        <f>PRODUCT(C1692:K1692)</f>
        <v>63.14</v>
      </c>
    </row>
    <row r="1693" spans="2:12" ht="15">
      <c r="B1693" s="650" t="s">
        <v>539</v>
      </c>
      <c r="C1693" s="20">
        <v>82</v>
      </c>
      <c r="D1693" s="20"/>
      <c r="E1693" s="19">
        <v>0.7</v>
      </c>
      <c r="F1693" s="20"/>
      <c r="G1693" s="20"/>
      <c r="H1693" s="19"/>
      <c r="I1693" s="20"/>
      <c r="J1693" s="19"/>
      <c r="K1693" s="17">
        <v>1.1000000000000001</v>
      </c>
      <c r="L1693" s="649">
        <f>PRODUCT(C1693:K1693)</f>
        <v>63.14</v>
      </c>
    </row>
    <row r="1694" spans="2:12" ht="15">
      <c r="B1694" s="650"/>
      <c r="C1694" s="20"/>
      <c r="D1694" s="20"/>
      <c r="E1694" s="19"/>
      <c r="F1694" s="20"/>
      <c r="G1694" s="20"/>
      <c r="H1694" s="19"/>
      <c r="I1694" s="20"/>
      <c r="J1694" s="19"/>
      <c r="K1694" s="17"/>
      <c r="L1694" s="649"/>
    </row>
    <row r="1695" spans="2:12" ht="15.75">
      <c r="B1695" s="760" t="s">
        <v>555</v>
      </c>
      <c r="C1695" s="20"/>
      <c r="D1695" s="20"/>
      <c r="E1695" s="19"/>
      <c r="F1695" s="20"/>
      <c r="G1695" s="20"/>
      <c r="H1695" s="19"/>
      <c r="I1695" s="20"/>
      <c r="J1695" s="19"/>
      <c r="K1695" s="17"/>
      <c r="L1695" s="649"/>
    </row>
    <row r="1696" spans="2:12" ht="15">
      <c r="B1696" s="650"/>
      <c r="C1696" s="20"/>
      <c r="D1696" s="20"/>
      <c r="E1696" s="19"/>
      <c r="F1696" s="20"/>
      <c r="G1696" s="20"/>
      <c r="H1696" s="19"/>
      <c r="I1696" s="20"/>
      <c r="J1696" s="19"/>
      <c r="K1696" s="17"/>
      <c r="L1696" s="649"/>
    </row>
    <row r="1697" spans="2:15" ht="15.75">
      <c r="B1697" s="764" t="s">
        <v>528</v>
      </c>
      <c r="C1697" s="20"/>
      <c r="D1697" s="20">
        <v>3.5</v>
      </c>
      <c r="E1697" s="19">
        <v>0.7</v>
      </c>
      <c r="F1697" s="19">
        <v>4.1500000000000004</v>
      </c>
      <c r="G1697" s="20"/>
      <c r="H1697" s="19"/>
      <c r="I1697" s="20"/>
      <c r="J1697" s="19">
        <v>2</v>
      </c>
      <c r="K1697" s="17">
        <v>1.1000000000000001</v>
      </c>
      <c r="L1697" s="649">
        <f>PRODUCT(C1697:K1697)</f>
        <v>22.368500000000004</v>
      </c>
      <c r="O1697" s="361"/>
    </row>
    <row r="1698" spans="2:15" ht="15.75">
      <c r="B1698" s="764" t="s">
        <v>529</v>
      </c>
      <c r="C1698" s="20"/>
      <c r="D1698" s="20">
        <v>3.5</v>
      </c>
      <c r="E1698" s="19">
        <v>0.7</v>
      </c>
      <c r="F1698" s="19">
        <v>4.1500000000000004</v>
      </c>
      <c r="G1698" s="20"/>
      <c r="H1698" s="19"/>
      <c r="I1698" s="20"/>
      <c r="J1698" s="19"/>
      <c r="K1698" s="17">
        <v>1.1000000000000001</v>
      </c>
      <c r="L1698" s="649">
        <f>PRODUCT(C1698:K1698)</f>
        <v>11.184250000000002</v>
      </c>
      <c r="O1698" s="361"/>
    </row>
    <row r="1699" spans="2:15" ht="15.75">
      <c r="B1699" s="764" t="s">
        <v>530</v>
      </c>
      <c r="C1699" s="20"/>
      <c r="D1699" s="20">
        <v>3.5</v>
      </c>
      <c r="E1699" s="19">
        <v>0.7</v>
      </c>
      <c r="F1699" s="19">
        <v>4.1500000000000004</v>
      </c>
      <c r="G1699" s="20"/>
      <c r="H1699" s="19"/>
      <c r="I1699" s="20"/>
      <c r="J1699" s="19"/>
      <c r="K1699" s="17">
        <v>1.1000000000000001</v>
      </c>
      <c r="L1699" s="649">
        <f>PRODUCT(C1699:K1699)</f>
        <v>11.184250000000002</v>
      </c>
      <c r="O1699" s="361"/>
    </row>
    <row r="1700" spans="2:15" ht="15">
      <c r="B1700" s="650"/>
      <c r="C1700" s="20"/>
      <c r="D1700" s="20"/>
      <c r="E1700" s="20"/>
      <c r="F1700" s="20"/>
      <c r="G1700" s="20"/>
      <c r="H1700" s="19"/>
      <c r="I1700" s="20"/>
      <c r="J1700" s="19"/>
      <c r="K1700" s="17"/>
      <c r="L1700" s="649"/>
      <c r="O1700" s="361"/>
    </row>
    <row r="1701" spans="2:15" ht="15">
      <c r="B1701" s="650"/>
      <c r="C1701" s="20"/>
      <c r="D1701" s="20"/>
      <c r="E1701" s="20"/>
      <c r="F1701" s="20"/>
      <c r="G1701" s="20"/>
      <c r="H1701" s="19"/>
      <c r="I1701" s="20"/>
      <c r="J1701" s="19"/>
      <c r="K1701" s="17"/>
      <c r="L1701" s="649"/>
    </row>
    <row r="1702" spans="2:15" ht="15">
      <c r="B1702" s="648"/>
      <c r="C1702" s="20"/>
      <c r="D1702" s="20"/>
      <c r="E1702" s="19"/>
      <c r="F1702" s="20"/>
      <c r="G1702" s="20"/>
      <c r="H1702" s="19"/>
      <c r="I1702" s="20"/>
      <c r="J1702" s="19"/>
      <c r="K1702" s="17"/>
      <c r="L1702" s="649"/>
    </row>
    <row r="1703" spans="2:15" ht="15.75">
      <c r="B1703" s="1002"/>
      <c r="C1703" s="1003"/>
      <c r="D1703" s="1003"/>
      <c r="E1703" s="1003"/>
      <c r="F1703" s="1003"/>
      <c r="G1703" s="1003"/>
      <c r="H1703" s="1003"/>
      <c r="I1703" s="1003"/>
      <c r="J1703" s="1003"/>
      <c r="K1703" s="1003"/>
      <c r="L1703" s="1004"/>
    </row>
    <row r="1704" spans="2:15">
      <c r="B1704" s="651"/>
      <c r="L1704" s="652"/>
    </row>
    <row r="1705" spans="2:15" ht="15.75">
      <c r="B1705" s="638" t="s">
        <v>398</v>
      </c>
      <c r="C1705" s="8">
        <v>9</v>
      </c>
      <c r="D1705" s="9" t="s">
        <v>1032</v>
      </c>
      <c r="E1705" s="9"/>
      <c r="F1705" s="9"/>
      <c r="G1705" s="9"/>
      <c r="H1705" s="9"/>
      <c r="I1705" s="9"/>
      <c r="J1705" s="9"/>
      <c r="K1705" s="10"/>
      <c r="L1705" s="639"/>
    </row>
    <row r="1706" spans="2:15" ht="15">
      <c r="B1706" s="1005"/>
      <c r="C1706" s="1006"/>
      <c r="D1706" s="1006"/>
      <c r="E1706" s="1006"/>
      <c r="F1706" s="1006"/>
      <c r="G1706" s="1006"/>
      <c r="H1706" s="1006"/>
      <c r="I1706" s="1006"/>
      <c r="J1706" s="1006"/>
      <c r="K1706" s="1006"/>
      <c r="L1706" s="1007"/>
    </row>
    <row r="1707" spans="2:15" ht="47.25">
      <c r="B1707" s="642" t="s">
        <v>399</v>
      </c>
      <c r="C1707" s="25">
        <f>+'PROPUESTA ECONOMICA(Proponente)'!C171</f>
        <v>9.3000000000000007</v>
      </c>
      <c r="D1707" s="12" t="str">
        <f>+VLOOKUP('MEMORIAS DE CANTIDADES'!C1707,'PROPUESTA ECONOMICA(Proponente)'!$C$21:$H$310,5,FALSE)</f>
        <v>Plantilla para piso e: 0,1 m (incluye malla electrosoldada, suministro, instalación de concreto 3000PSI y formaleta).</v>
      </c>
      <c r="E1707" s="13"/>
      <c r="F1707" s="12"/>
      <c r="G1707" s="12"/>
      <c r="H1707" s="12"/>
      <c r="I1707" s="11" t="s">
        <v>400</v>
      </c>
      <c r="J1707" s="12" t="str">
        <f>+VLOOKUP('MEMORIAS DE CANTIDADES'!C1707,'PROPUESTA ECONOMICA(Proponente)'!$C$21:$H$310,6,FALSE)</f>
        <v>m2</v>
      </c>
      <c r="K1707" s="11" t="s">
        <v>401</v>
      </c>
      <c r="L1707" s="643">
        <f>SUM(L1708:L1739)</f>
        <v>797.31</v>
      </c>
    </row>
    <row r="1708" spans="2:15" ht="15">
      <c r="B1708" s="644"/>
      <c r="C1708" s="16"/>
      <c r="D1708" s="15"/>
      <c r="E1708" s="15"/>
      <c r="F1708" s="15"/>
      <c r="G1708" s="15"/>
      <c r="H1708" s="15"/>
      <c r="I1708" s="15"/>
      <c r="J1708" s="15"/>
      <c r="K1708" s="17"/>
      <c r="L1708" s="645"/>
    </row>
    <row r="1709" spans="2:15" ht="47.25">
      <c r="B1709" s="646" t="s">
        <v>402</v>
      </c>
      <c r="C1709" s="18" t="s">
        <v>403</v>
      </c>
      <c r="D1709" s="18" t="s">
        <v>404</v>
      </c>
      <c r="E1709" s="18" t="s">
        <v>405</v>
      </c>
      <c r="F1709" s="18" t="s">
        <v>406</v>
      </c>
      <c r="G1709" s="18" t="s">
        <v>407</v>
      </c>
      <c r="H1709" s="5" t="s">
        <v>408</v>
      </c>
      <c r="I1709" s="18" t="s">
        <v>409</v>
      </c>
      <c r="J1709" s="5" t="s">
        <v>410</v>
      </c>
      <c r="K1709" s="5" t="s">
        <v>411</v>
      </c>
      <c r="L1709" s="647" t="s">
        <v>412</v>
      </c>
    </row>
    <row r="1710" spans="2:15" ht="15.75">
      <c r="B1710" s="759" t="s">
        <v>598</v>
      </c>
      <c r="C1710" s="19"/>
      <c r="D1710" s="19"/>
      <c r="E1710" s="19"/>
      <c r="F1710" s="19"/>
      <c r="G1710" s="20"/>
      <c r="H1710" s="68"/>
      <c r="I1710" s="17"/>
      <c r="J1710" s="28"/>
      <c r="K1710" s="17"/>
      <c r="L1710" s="649"/>
    </row>
    <row r="1711" spans="2:15" ht="15">
      <c r="B1711" s="655" t="s">
        <v>538</v>
      </c>
      <c r="C1711" s="20">
        <v>177</v>
      </c>
      <c r="D1711" s="19"/>
      <c r="E1711" s="19">
        <v>0.1</v>
      </c>
      <c r="F1711" s="19"/>
      <c r="G1711" s="20"/>
      <c r="H1711" s="68"/>
      <c r="I1711" s="17"/>
      <c r="J1711" s="69"/>
      <c r="K1711" s="17"/>
      <c r="L1711" s="649">
        <f>PRODUCT(C1711:K1711)</f>
        <v>17.7</v>
      </c>
    </row>
    <row r="1712" spans="2:15" ht="15">
      <c r="B1712" s="650" t="s">
        <v>539</v>
      </c>
      <c r="C1712" s="20">
        <v>179</v>
      </c>
      <c r="D1712" s="20"/>
      <c r="E1712" s="19">
        <v>0.1</v>
      </c>
      <c r="F1712" s="20"/>
      <c r="G1712" s="20"/>
      <c r="H1712" s="20"/>
      <c r="I1712" s="20"/>
      <c r="J1712" s="69"/>
      <c r="K1712" s="17"/>
      <c r="L1712" s="649">
        <f t="shared" ref="L1712" si="121">PRODUCT(C1712:K1712)</f>
        <v>17.900000000000002</v>
      </c>
    </row>
    <row r="1713" spans="2:12" ht="15.75">
      <c r="B1713" s="759" t="s">
        <v>659</v>
      </c>
      <c r="C1713" s="20"/>
      <c r="D1713" s="20"/>
      <c r="E1713" s="19"/>
      <c r="F1713" s="20"/>
      <c r="G1713" s="20"/>
      <c r="H1713" s="19"/>
      <c r="I1713" s="20"/>
      <c r="J1713" s="19"/>
      <c r="K1713" s="17"/>
      <c r="L1713" s="649"/>
    </row>
    <row r="1714" spans="2:12" ht="15">
      <c r="B1714" s="655" t="s">
        <v>538</v>
      </c>
      <c r="C1714" s="20">
        <v>209</v>
      </c>
      <c r="D1714" s="20"/>
      <c r="E1714" s="19">
        <v>0.1</v>
      </c>
      <c r="F1714" s="20"/>
      <c r="G1714" s="20"/>
      <c r="H1714" s="19"/>
      <c r="I1714" s="20"/>
      <c r="J1714" s="19"/>
      <c r="K1714" s="17"/>
      <c r="L1714" s="649">
        <f t="shared" ref="L1714" si="122">PRODUCT(C1714:K1714)</f>
        <v>20.900000000000002</v>
      </c>
    </row>
    <row r="1715" spans="2:12" ht="15">
      <c r="B1715" s="650" t="s">
        <v>539</v>
      </c>
      <c r="C1715" s="39"/>
      <c r="D1715" s="39"/>
      <c r="E1715" s="39"/>
      <c r="F1715" s="39"/>
      <c r="G1715" s="20"/>
      <c r="H1715" s="19"/>
      <c r="I1715" s="20"/>
      <c r="J1715" s="19"/>
      <c r="K1715" s="17"/>
      <c r="L1715" s="649"/>
    </row>
    <row r="1716" spans="2:12" ht="15.75">
      <c r="B1716" s="759" t="s">
        <v>594</v>
      </c>
      <c r="C1716" s="39"/>
      <c r="D1716" s="39"/>
      <c r="E1716" s="39"/>
      <c r="F1716" s="39"/>
      <c r="G1716" s="20"/>
      <c r="H1716" s="19"/>
      <c r="I1716" s="20"/>
      <c r="J1716" s="19"/>
      <c r="K1716" s="17"/>
      <c r="L1716" s="649"/>
    </row>
    <row r="1717" spans="2:12" ht="15">
      <c r="B1717" s="650" t="s">
        <v>538</v>
      </c>
      <c r="C1717" s="20">
        <v>82</v>
      </c>
      <c r="D1717" s="20"/>
      <c r="E1717" s="19">
        <v>0.1</v>
      </c>
      <c r="F1717" s="20"/>
      <c r="G1717" s="20"/>
      <c r="H1717" s="19"/>
      <c r="I1717" s="20"/>
      <c r="J1717" s="19">
        <v>2</v>
      </c>
      <c r="K1717" s="17"/>
      <c r="L1717" s="649">
        <f t="shared" ref="L1717:L1718" si="123">PRODUCT(C1717:K1717)</f>
        <v>16.400000000000002</v>
      </c>
    </row>
    <row r="1718" spans="2:12" ht="15">
      <c r="B1718" s="650" t="s">
        <v>539</v>
      </c>
      <c r="C1718" s="20">
        <v>82</v>
      </c>
      <c r="D1718" s="20"/>
      <c r="E1718" s="19">
        <v>0.1</v>
      </c>
      <c r="F1718" s="20"/>
      <c r="G1718" s="20"/>
      <c r="H1718" s="19"/>
      <c r="I1718" s="20"/>
      <c r="J1718" s="19">
        <v>2</v>
      </c>
      <c r="K1718" s="17"/>
      <c r="L1718" s="649">
        <f t="shared" si="123"/>
        <v>16.400000000000002</v>
      </c>
    </row>
    <row r="1719" spans="2:12" ht="15">
      <c r="B1719" s="650"/>
      <c r="C1719" s="20"/>
      <c r="D1719" s="20"/>
      <c r="E1719" s="19"/>
      <c r="F1719" s="20"/>
      <c r="G1719" s="20"/>
      <c r="H1719" s="19"/>
      <c r="I1719" s="20"/>
      <c r="J1719" s="19"/>
      <c r="K1719" s="17"/>
      <c r="L1719" s="649"/>
    </row>
    <row r="1720" spans="2:12" ht="15.75">
      <c r="B1720" s="760" t="s">
        <v>782</v>
      </c>
      <c r="C1720" s="20"/>
      <c r="D1720" s="20"/>
      <c r="E1720" s="19"/>
      <c r="F1720" s="20"/>
      <c r="G1720" s="20"/>
      <c r="H1720" s="19"/>
      <c r="I1720" s="20"/>
      <c r="J1720" s="19"/>
      <c r="K1720" s="17"/>
      <c r="L1720" s="649"/>
    </row>
    <row r="1721" spans="2:12" ht="15">
      <c r="B1721" s="650"/>
      <c r="C1721" s="20"/>
      <c r="D1721" s="20"/>
      <c r="E1721" s="19"/>
      <c r="F1721" s="20"/>
      <c r="G1721" s="20"/>
      <c r="H1721" s="19"/>
      <c r="I1721" s="20"/>
      <c r="J1721" s="19"/>
      <c r="K1721" s="17"/>
      <c r="L1721" s="649"/>
    </row>
    <row r="1722" spans="2:12" ht="15">
      <c r="B1722" s="650"/>
      <c r="C1722" s="20"/>
      <c r="D1722" s="20"/>
      <c r="E1722" s="19"/>
      <c r="F1722" s="20"/>
      <c r="G1722" s="20"/>
      <c r="H1722" s="19"/>
      <c r="I1722" s="20"/>
      <c r="J1722" s="19"/>
      <c r="K1722" s="17"/>
      <c r="L1722" s="649"/>
    </row>
    <row r="1723" spans="2:12" ht="15">
      <c r="B1723" s="650"/>
      <c r="C1723" s="20"/>
      <c r="D1723" s="20"/>
      <c r="E1723" s="19"/>
      <c r="F1723" s="20"/>
      <c r="G1723" s="20"/>
      <c r="H1723" s="19"/>
      <c r="I1723" s="20"/>
      <c r="J1723" s="19"/>
      <c r="K1723" s="17"/>
      <c r="L1723" s="649"/>
    </row>
    <row r="1724" spans="2:12" ht="15">
      <c r="B1724" s="648" t="s">
        <v>438</v>
      </c>
      <c r="C1724" s="20">
        <v>143</v>
      </c>
      <c r="D1724" s="20"/>
      <c r="E1724" s="19">
        <v>0.1</v>
      </c>
      <c r="F1724" s="20"/>
      <c r="G1724" s="20"/>
      <c r="H1724" s="19"/>
      <c r="I1724" s="20"/>
      <c r="J1724" s="19">
        <v>2</v>
      </c>
      <c r="K1724" s="17"/>
      <c r="L1724" s="649">
        <f>PRODUCT(C1724:K1724)</f>
        <v>28.6</v>
      </c>
    </row>
    <row r="1725" spans="2:12" ht="15">
      <c r="B1725" s="648"/>
      <c r="C1725" s="20"/>
      <c r="D1725" s="20"/>
      <c r="E1725" s="19"/>
      <c r="F1725" s="20"/>
      <c r="G1725" s="20"/>
      <c r="H1725" s="19"/>
      <c r="I1725" s="20"/>
      <c r="J1725" s="19"/>
      <c r="K1725" s="17"/>
      <c r="L1725" s="649"/>
    </row>
    <row r="1726" spans="2:12" ht="15.75">
      <c r="B1726" s="755" t="s">
        <v>528</v>
      </c>
      <c r="C1726" s="20"/>
      <c r="D1726" s="19">
        <v>3.5</v>
      </c>
      <c r="E1726" s="19">
        <v>0.1</v>
      </c>
      <c r="F1726" s="19">
        <v>4.1500000000000004</v>
      </c>
      <c r="G1726" s="20"/>
      <c r="H1726" s="19"/>
      <c r="I1726" s="20"/>
      <c r="J1726" s="19">
        <v>2</v>
      </c>
      <c r="K1726" s="28"/>
      <c r="L1726" s="649">
        <f>PRODUCT(C1726:K1726)</f>
        <v>2.9050000000000007</v>
      </c>
    </row>
    <row r="1727" spans="2:12" ht="15.75">
      <c r="B1727" s="755" t="s">
        <v>529</v>
      </c>
      <c r="C1727" s="20"/>
      <c r="D1727" s="19">
        <v>3.5</v>
      </c>
      <c r="E1727" s="19">
        <v>0.1</v>
      </c>
      <c r="F1727" s="19">
        <v>4.1500000000000004</v>
      </c>
      <c r="G1727" s="20"/>
      <c r="H1727" s="19"/>
      <c r="I1727" s="20"/>
      <c r="J1727" s="19"/>
      <c r="K1727" s="28"/>
      <c r="L1727" s="649">
        <f>PRODUCT(C1727:K1727)</f>
        <v>1.4525000000000003</v>
      </c>
    </row>
    <row r="1728" spans="2:12" ht="15.75">
      <c r="B1728" s="755" t="s">
        <v>530</v>
      </c>
      <c r="C1728" s="20"/>
      <c r="D1728" s="19">
        <v>3.5</v>
      </c>
      <c r="E1728" s="19">
        <v>0.1</v>
      </c>
      <c r="F1728" s="19">
        <v>4.1500000000000004</v>
      </c>
      <c r="G1728" s="20"/>
      <c r="H1728" s="19"/>
      <c r="I1728" s="20"/>
      <c r="J1728" s="19"/>
      <c r="K1728" s="28"/>
      <c r="L1728" s="649">
        <f>PRODUCT(C1728:K1728)</f>
        <v>1.4525000000000003</v>
      </c>
    </row>
    <row r="1729" spans="2:12" ht="15">
      <c r="B1729" s="648"/>
      <c r="C1729" s="20"/>
      <c r="D1729" s="20"/>
      <c r="E1729" s="19"/>
      <c r="F1729" s="20"/>
      <c r="G1729" s="20"/>
      <c r="H1729" s="19"/>
      <c r="I1729" s="20"/>
      <c r="J1729" s="19"/>
      <c r="K1729" s="17"/>
      <c r="L1729" s="649"/>
    </row>
    <row r="1730" spans="2:12" ht="15.75">
      <c r="B1730" s="766" t="s">
        <v>936</v>
      </c>
      <c r="C1730" s="20"/>
      <c r="D1730" s="20"/>
      <c r="E1730" s="19"/>
      <c r="F1730" s="20"/>
      <c r="G1730" s="20"/>
      <c r="H1730" s="19"/>
      <c r="I1730" s="20"/>
      <c r="J1730" s="19"/>
      <c r="K1730" s="17"/>
      <c r="L1730" s="649"/>
    </row>
    <row r="1731" spans="2:12" ht="15.75">
      <c r="B1731" s="766"/>
      <c r="C1731" s="20"/>
      <c r="D1731" s="20"/>
      <c r="E1731" s="19"/>
      <c r="F1731" s="20"/>
      <c r="G1731" s="20"/>
      <c r="H1731" s="19"/>
      <c r="I1731" s="20"/>
      <c r="J1731" s="19"/>
      <c r="K1731" s="17"/>
      <c r="L1731" s="649"/>
    </row>
    <row r="1732" spans="2:12" ht="15">
      <c r="B1732" s="648" t="s">
        <v>938</v>
      </c>
      <c r="C1732" s="19"/>
      <c r="D1732" s="19">
        <v>6.4</v>
      </c>
      <c r="E1732" s="19"/>
      <c r="F1732" s="19">
        <v>23.1</v>
      </c>
      <c r="G1732" s="20"/>
      <c r="H1732" s="68"/>
      <c r="I1732" s="17">
        <v>2</v>
      </c>
      <c r="J1732" s="22"/>
      <c r="K1732" s="17"/>
      <c r="L1732" s="649">
        <f>PRODUCT(C1732:K1732)</f>
        <v>295.68</v>
      </c>
    </row>
    <row r="1733" spans="2:12" ht="15">
      <c r="B1733" s="648" t="s">
        <v>939</v>
      </c>
      <c r="C1733" s="19"/>
      <c r="D1733" s="19">
        <v>4.5999999999999996</v>
      </c>
      <c r="E1733" s="19"/>
      <c r="F1733" s="19">
        <v>6.6</v>
      </c>
      <c r="G1733" s="20"/>
      <c r="H1733" s="68"/>
      <c r="I1733" s="17">
        <v>2</v>
      </c>
      <c r="J1733" s="22"/>
      <c r="K1733" s="17"/>
      <c r="L1733" s="649">
        <f>PRODUCT(C1733:K1733)</f>
        <v>60.719999999999992</v>
      </c>
    </row>
    <row r="1734" spans="2:12" ht="15">
      <c r="B1734" s="648" t="s">
        <v>594</v>
      </c>
      <c r="C1734" s="20">
        <f>104+53*0.2</f>
        <v>114.6</v>
      </c>
      <c r="D1734" s="19"/>
      <c r="E1734" s="19"/>
      <c r="F1734" s="19"/>
      <c r="G1734" s="20"/>
      <c r="H1734" s="68"/>
      <c r="I1734" s="17">
        <v>2</v>
      </c>
      <c r="J1734" s="24"/>
      <c r="K1734" s="17"/>
      <c r="L1734" s="649">
        <f>PRODUCT(C1734:K1734)</f>
        <v>229.2</v>
      </c>
    </row>
    <row r="1735" spans="2:12" ht="15">
      <c r="B1735" s="650" t="s">
        <v>536</v>
      </c>
      <c r="C1735" s="20"/>
      <c r="D1735" s="20">
        <v>5.5</v>
      </c>
      <c r="E1735" s="20"/>
      <c r="F1735" s="20">
        <f>3.5+0.5</f>
        <v>4</v>
      </c>
      <c r="G1735" s="20"/>
      <c r="H1735" s="20"/>
      <c r="I1735" s="20"/>
      <c r="J1735" s="24"/>
      <c r="K1735" s="17"/>
      <c r="L1735" s="649">
        <f t="shared" ref="L1735:L1737" si="124">PRODUCT(C1735:K1735)</f>
        <v>22</v>
      </c>
    </row>
    <row r="1736" spans="2:12" ht="15">
      <c r="B1736" s="650" t="s">
        <v>537</v>
      </c>
      <c r="C1736" s="20"/>
      <c r="D1736" s="20">
        <v>5.5</v>
      </c>
      <c r="E1736" s="20"/>
      <c r="F1736" s="20">
        <f t="shared" ref="F1736:F1737" si="125">3.5+0.5</f>
        <v>4</v>
      </c>
      <c r="G1736" s="20"/>
      <c r="H1736" s="19"/>
      <c r="I1736" s="20"/>
      <c r="J1736" s="24"/>
      <c r="K1736" s="17"/>
      <c r="L1736" s="649">
        <f t="shared" si="124"/>
        <v>22</v>
      </c>
    </row>
    <row r="1737" spans="2:12" ht="15">
      <c r="B1737" s="650" t="s">
        <v>528</v>
      </c>
      <c r="C1737" s="20"/>
      <c r="D1737" s="20">
        <v>5.5</v>
      </c>
      <c r="E1737" s="20"/>
      <c r="F1737" s="20">
        <f t="shared" si="125"/>
        <v>4</v>
      </c>
      <c r="G1737" s="20"/>
      <c r="H1737" s="19"/>
      <c r="I1737" s="20">
        <v>2</v>
      </c>
      <c r="J1737" s="24"/>
      <c r="K1737" s="17"/>
      <c r="L1737" s="649">
        <f t="shared" si="124"/>
        <v>44</v>
      </c>
    </row>
    <row r="1738" spans="2:12" ht="15">
      <c r="B1738" s="650"/>
      <c r="C1738" s="20"/>
      <c r="D1738" s="20"/>
      <c r="E1738" s="20"/>
      <c r="F1738" s="20"/>
      <c r="G1738" s="20"/>
      <c r="H1738" s="19"/>
      <c r="I1738" s="20"/>
      <c r="J1738" s="19"/>
      <c r="K1738" s="17"/>
      <c r="L1738" s="649"/>
    </row>
    <row r="1739" spans="2:12" ht="15.75">
      <c r="B1739" s="1002"/>
      <c r="C1739" s="1003"/>
      <c r="D1739" s="1003"/>
      <c r="E1739" s="1003"/>
      <c r="F1739" s="1003"/>
      <c r="G1739" s="1003"/>
      <c r="H1739" s="1003"/>
      <c r="I1739" s="1003"/>
      <c r="J1739" s="1003"/>
      <c r="K1739" s="1003"/>
      <c r="L1739" s="1004"/>
    </row>
    <row r="1740" spans="2:12">
      <c r="B1740" s="651"/>
      <c r="L1740" s="652"/>
    </row>
    <row r="1741" spans="2:12" ht="15">
      <c r="B1741" s="1005"/>
      <c r="C1741" s="1006"/>
      <c r="D1741" s="1006"/>
      <c r="E1741" s="1006"/>
      <c r="F1741" s="1006"/>
      <c r="G1741" s="1006"/>
      <c r="H1741" s="1006"/>
      <c r="I1741" s="1006"/>
      <c r="J1741" s="1006"/>
      <c r="K1741" s="1006"/>
      <c r="L1741" s="1007"/>
    </row>
    <row r="1742" spans="2:12" ht="15.75">
      <c r="B1742" s="638" t="s">
        <v>398</v>
      </c>
      <c r="C1742" s="8">
        <v>9</v>
      </c>
      <c r="D1742" s="9" t="s">
        <v>1032</v>
      </c>
      <c r="E1742" s="9"/>
      <c r="F1742" s="9"/>
      <c r="G1742" s="9"/>
      <c r="H1742" s="9"/>
      <c r="I1742" s="9"/>
      <c r="J1742" s="9"/>
      <c r="K1742" s="10"/>
      <c r="L1742" s="639"/>
    </row>
    <row r="1743" spans="2:12" ht="15">
      <c r="B1743" s="1005"/>
      <c r="C1743" s="1006"/>
      <c r="D1743" s="1006"/>
      <c r="E1743" s="1006"/>
      <c r="F1743" s="1006"/>
      <c r="G1743" s="1006"/>
      <c r="H1743" s="1006"/>
      <c r="I1743" s="1006"/>
      <c r="J1743" s="1006"/>
      <c r="K1743" s="1006"/>
      <c r="L1743" s="1007"/>
    </row>
    <row r="1744" spans="2:12" ht="63">
      <c r="B1744" s="642" t="s">
        <v>399</v>
      </c>
      <c r="C1744" s="25">
        <f>+'PROPUESTA ECONOMICA(Proponente)'!C172</f>
        <v>9.4</v>
      </c>
      <c r="D1744" s="12" t="str">
        <f>+VLOOKUP('MEMORIAS DE CANTIDADES'!C1744,'PROPUESTA ECONOMICA(Proponente)'!$C$21:$H$310,5,FALSE)</f>
        <v>Rampas para movilidad reducida e= 0,08 cm (incluye malla electrosoldada, suministro e instalación de concreto 3000PSI, formaleta y rayado en forma espina pescado)</v>
      </c>
      <c r="E1744" s="13"/>
      <c r="F1744" s="12"/>
      <c r="G1744" s="12"/>
      <c r="H1744" s="12"/>
      <c r="I1744" s="11" t="s">
        <v>400</v>
      </c>
      <c r="J1744" s="12" t="str">
        <f>+VLOOKUP('MEMORIAS DE CANTIDADES'!C1744,'PROPUESTA ECONOMICA(Proponente)'!$C$21:$H$310,6,FALSE)</f>
        <v>m2</v>
      </c>
      <c r="K1744" s="11" t="s">
        <v>401</v>
      </c>
      <c r="L1744" s="643">
        <f>SUM(L1745:L1752)</f>
        <v>7.1999999999999993</v>
      </c>
    </row>
    <row r="1745" spans="1:12" ht="15">
      <c r="B1745" s="644"/>
      <c r="C1745" s="16"/>
      <c r="D1745" s="15"/>
      <c r="E1745" s="15"/>
      <c r="F1745" s="15"/>
      <c r="G1745" s="15"/>
      <c r="H1745" s="15"/>
      <c r="I1745" s="15"/>
      <c r="J1745" s="15"/>
      <c r="K1745" s="17"/>
      <c r="L1745" s="645"/>
    </row>
    <row r="1746" spans="1:12" ht="47.25">
      <c r="B1746" s="646" t="s">
        <v>402</v>
      </c>
      <c r="C1746" s="18" t="s">
        <v>403</v>
      </c>
      <c r="D1746" s="18" t="s">
        <v>404</v>
      </c>
      <c r="E1746" s="18" t="s">
        <v>405</v>
      </c>
      <c r="F1746" s="18" t="s">
        <v>406</v>
      </c>
      <c r="G1746" s="18" t="s">
        <v>407</v>
      </c>
      <c r="H1746" s="5" t="s">
        <v>408</v>
      </c>
      <c r="I1746" s="18" t="s">
        <v>409</v>
      </c>
      <c r="J1746" s="5" t="s">
        <v>410</v>
      </c>
      <c r="K1746" s="5" t="s">
        <v>411</v>
      </c>
      <c r="L1746" s="647" t="s">
        <v>412</v>
      </c>
    </row>
    <row r="1747" spans="1:12" ht="15">
      <c r="B1747" s="648" t="s">
        <v>540</v>
      </c>
      <c r="C1747" s="19"/>
      <c r="D1747" s="19">
        <v>1.2</v>
      </c>
      <c r="E1747" s="19"/>
      <c r="F1747" s="19">
        <v>1</v>
      </c>
      <c r="G1747" s="20"/>
      <c r="H1747" s="68"/>
      <c r="I1747" s="17">
        <v>6</v>
      </c>
      <c r="J1747" s="22"/>
      <c r="K1747" s="17"/>
      <c r="L1747" s="649">
        <f>PRODUCT(C1747:K1747)</f>
        <v>7.1999999999999993</v>
      </c>
    </row>
    <row r="1748" spans="1:12" ht="15">
      <c r="B1748" s="648"/>
      <c r="C1748" s="20"/>
      <c r="D1748" s="19"/>
      <c r="E1748" s="19"/>
      <c r="F1748" s="19"/>
      <c r="G1748" s="20"/>
      <c r="H1748" s="68"/>
      <c r="I1748" s="17"/>
      <c r="J1748" s="24"/>
      <c r="K1748" s="17"/>
      <c r="L1748" s="649">
        <f t="shared" ref="L1748" si="126">PRODUCT(C1748:K1748)</f>
        <v>0</v>
      </c>
    </row>
    <row r="1749" spans="1:12" ht="15">
      <c r="B1749" s="650"/>
      <c r="C1749" s="20"/>
      <c r="D1749" s="20"/>
      <c r="E1749" s="20"/>
      <c r="F1749" s="20"/>
      <c r="G1749" s="20"/>
      <c r="H1749" s="20"/>
      <c r="I1749" s="20"/>
      <c r="J1749" s="24"/>
      <c r="K1749" s="17"/>
      <c r="L1749" s="649"/>
    </row>
    <row r="1750" spans="1:12" ht="15">
      <c r="B1750" s="650"/>
      <c r="C1750" s="20"/>
      <c r="D1750" s="20"/>
      <c r="E1750" s="20"/>
      <c r="F1750" s="20"/>
      <c r="G1750" s="20"/>
      <c r="H1750" s="19"/>
      <c r="I1750" s="20"/>
      <c r="J1750" s="24"/>
      <c r="K1750" s="17"/>
      <c r="L1750" s="649"/>
    </row>
    <row r="1751" spans="1:12" ht="15">
      <c r="B1751" s="650"/>
      <c r="C1751" s="20"/>
      <c r="D1751" s="20"/>
      <c r="E1751" s="20"/>
      <c r="F1751" s="20"/>
      <c r="G1751" s="20"/>
      <c r="H1751" s="19"/>
      <c r="I1751" s="20"/>
      <c r="J1751" s="24"/>
      <c r="K1751" s="17"/>
      <c r="L1751" s="649"/>
    </row>
    <row r="1752" spans="1:12" ht="15.75">
      <c r="B1752" s="1002" t="s">
        <v>414</v>
      </c>
      <c r="C1752" s="1003"/>
      <c r="D1752" s="1003"/>
      <c r="E1752" s="1003"/>
      <c r="F1752" s="1003"/>
      <c r="G1752" s="1003"/>
      <c r="H1752" s="1003"/>
      <c r="I1752" s="1003"/>
      <c r="J1752" s="1003"/>
      <c r="K1752" s="1003"/>
      <c r="L1752" s="1004"/>
    </row>
    <row r="1753" spans="1:12" ht="15.6" customHeight="1">
      <c r="A1753" s="70"/>
      <c r="B1753" s="767"/>
      <c r="C1753" s="70"/>
      <c r="D1753" s="70"/>
      <c r="E1753" s="70"/>
      <c r="F1753" s="70"/>
      <c r="G1753" s="70"/>
      <c r="H1753" s="70"/>
      <c r="I1753" s="70"/>
      <c r="J1753" s="70"/>
      <c r="K1753" s="70"/>
      <c r="L1753" s="768"/>
    </row>
    <row r="1754" spans="1:12" ht="15.75">
      <c r="B1754" s="638" t="s">
        <v>398</v>
      </c>
      <c r="C1754" s="8">
        <v>9</v>
      </c>
      <c r="D1754" s="9" t="s">
        <v>1032</v>
      </c>
      <c r="E1754" s="9"/>
      <c r="F1754" s="9"/>
      <c r="G1754" s="9"/>
      <c r="H1754" s="9"/>
      <c r="I1754" s="9"/>
      <c r="J1754" s="9"/>
      <c r="K1754" s="10"/>
      <c r="L1754" s="639"/>
    </row>
    <row r="1755" spans="1:12" ht="15">
      <c r="B1755" s="640"/>
      <c r="C1755" s="579"/>
      <c r="D1755" s="579"/>
      <c r="E1755" s="579"/>
      <c r="F1755" s="579"/>
      <c r="G1755" s="579"/>
      <c r="H1755" s="579"/>
      <c r="I1755" s="579"/>
      <c r="J1755" s="579"/>
      <c r="K1755" s="579"/>
      <c r="L1755" s="641"/>
    </row>
    <row r="1756" spans="1:12" ht="47.25">
      <c r="B1756" s="642" t="s">
        <v>399</v>
      </c>
      <c r="C1756" s="25">
        <f>+'PROPUESTA ECONOMICA(Proponente)'!C173</f>
        <v>9.5</v>
      </c>
      <c r="D1756" s="12" t="str">
        <f>+VLOOKUP('MEMORIAS DE CANTIDADES'!C1756,'PROPUESTA ECONOMICA(Proponente)'!$C$21:$H$310,5,FALSE)</f>
        <v>Pisos en granito de 30x30 cm , Baños, cafetería, camerinos. (incluye suministro y aplicación de boquilla en juntas).</v>
      </c>
      <c r="E1756" s="13"/>
      <c r="F1756" s="12"/>
      <c r="G1756" s="12"/>
      <c r="H1756" s="12"/>
      <c r="I1756" s="11" t="s">
        <v>400</v>
      </c>
      <c r="J1756" s="12" t="str">
        <f>+VLOOKUP('MEMORIAS DE CANTIDADES'!C1756,'PROPUESTA ECONOMICA(Proponente)'!$C$21:$H$310,6,FALSE)</f>
        <v>m2</v>
      </c>
      <c r="K1756" s="11" t="s">
        <v>401</v>
      </c>
      <c r="L1756" s="643">
        <f>SUM(L1757:L1771)</f>
        <v>939</v>
      </c>
    </row>
    <row r="1757" spans="1:12" ht="15">
      <c r="B1757" s="644"/>
      <c r="C1757" s="16"/>
      <c r="D1757" s="15"/>
      <c r="E1757" s="15"/>
      <c r="F1757" s="15"/>
      <c r="G1757" s="15"/>
      <c r="H1757" s="15"/>
      <c r="I1757" s="15"/>
      <c r="J1757" s="15"/>
      <c r="K1757" s="17"/>
      <c r="L1757" s="645"/>
    </row>
    <row r="1758" spans="1:12" ht="47.25">
      <c r="B1758" s="646" t="s">
        <v>402</v>
      </c>
      <c r="C1758" s="18" t="s">
        <v>403</v>
      </c>
      <c r="D1758" s="18" t="s">
        <v>404</v>
      </c>
      <c r="E1758" s="18" t="s">
        <v>405</v>
      </c>
      <c r="F1758" s="18" t="s">
        <v>406</v>
      </c>
      <c r="G1758" s="18" t="s">
        <v>407</v>
      </c>
      <c r="H1758" s="5" t="s">
        <v>408</v>
      </c>
      <c r="I1758" s="18" t="s">
        <v>409</v>
      </c>
      <c r="J1758" s="5" t="s">
        <v>410</v>
      </c>
      <c r="K1758" s="5" t="s">
        <v>411</v>
      </c>
      <c r="L1758" s="647" t="s">
        <v>412</v>
      </c>
    </row>
    <row r="1759" spans="1:12" ht="15.75">
      <c r="B1759" s="759" t="s">
        <v>598</v>
      </c>
      <c r="C1759" s="19"/>
      <c r="D1759" s="19"/>
      <c r="E1759" s="19"/>
      <c r="F1759" s="19"/>
      <c r="G1759" s="20"/>
      <c r="H1759" s="68"/>
      <c r="I1759" s="17"/>
      <c r="J1759" s="28"/>
      <c r="K1759" s="17"/>
      <c r="L1759" s="649"/>
    </row>
    <row r="1760" spans="1:12" ht="15">
      <c r="B1760" s="655" t="s">
        <v>538</v>
      </c>
      <c r="C1760" s="19">
        <v>177</v>
      </c>
      <c r="D1760" s="19"/>
      <c r="E1760" s="19"/>
      <c r="F1760" s="19"/>
      <c r="G1760" s="20"/>
      <c r="H1760" s="68"/>
      <c r="I1760" s="17"/>
      <c r="J1760" s="69"/>
      <c r="K1760" s="17"/>
      <c r="L1760" s="649">
        <f>PRODUCT(C1760:K1760)</f>
        <v>177</v>
      </c>
    </row>
    <row r="1761" spans="2:12" ht="15">
      <c r="B1761" s="650" t="s">
        <v>539</v>
      </c>
      <c r="C1761" s="19">
        <v>177</v>
      </c>
      <c r="D1761" s="20"/>
      <c r="E1761" s="19"/>
      <c r="F1761" s="20"/>
      <c r="G1761" s="20"/>
      <c r="H1761" s="20"/>
      <c r="I1761" s="20"/>
      <c r="J1761" s="69"/>
      <c r="K1761" s="17"/>
      <c r="L1761" s="649">
        <f t="shared" ref="L1761" si="127">PRODUCT(C1761:K1761)</f>
        <v>177</v>
      </c>
    </row>
    <row r="1762" spans="2:12" ht="15.75">
      <c r="B1762" s="759" t="s">
        <v>659</v>
      </c>
      <c r="C1762" s="19"/>
      <c r="D1762" s="20"/>
      <c r="E1762" s="19"/>
      <c r="F1762" s="20"/>
      <c r="G1762" s="20"/>
      <c r="H1762" s="19"/>
      <c r="I1762" s="20"/>
      <c r="J1762" s="19"/>
      <c r="K1762" s="17"/>
      <c r="L1762" s="649"/>
    </row>
    <row r="1763" spans="2:12" ht="15">
      <c r="B1763" s="655" t="s">
        <v>538</v>
      </c>
      <c r="C1763" s="19">
        <v>209</v>
      </c>
      <c r="D1763" s="20"/>
      <c r="E1763" s="19"/>
      <c r="F1763" s="20"/>
      <c r="G1763" s="20"/>
      <c r="H1763" s="19"/>
      <c r="I1763" s="20"/>
      <c r="J1763" s="19"/>
      <c r="K1763" s="17"/>
      <c r="L1763" s="649">
        <f>PRODUCT(C1763:K1763)</f>
        <v>209</v>
      </c>
    </row>
    <row r="1764" spans="2:12" ht="15">
      <c r="B1764" s="650"/>
      <c r="C1764" s="137"/>
      <c r="D1764" s="39"/>
      <c r="E1764" s="39"/>
      <c r="F1764" s="39"/>
      <c r="G1764" s="20"/>
      <c r="H1764" s="19"/>
      <c r="I1764" s="20"/>
      <c r="J1764" s="19"/>
      <c r="K1764" s="17"/>
      <c r="L1764" s="649"/>
    </row>
    <row r="1765" spans="2:12" ht="15.75">
      <c r="B1765" s="759" t="s">
        <v>594</v>
      </c>
      <c r="C1765" s="137"/>
      <c r="D1765" s="39"/>
      <c r="E1765" s="39"/>
      <c r="F1765" s="39"/>
      <c r="G1765" s="20"/>
      <c r="H1765" s="19"/>
      <c r="I1765" s="20"/>
      <c r="J1765" s="19"/>
      <c r="K1765" s="17"/>
      <c r="L1765" s="649"/>
    </row>
    <row r="1766" spans="2:12" ht="15">
      <c r="B1766" s="650" t="s">
        <v>538</v>
      </c>
      <c r="C1766" s="19">
        <v>45</v>
      </c>
      <c r="D1766" s="20"/>
      <c r="E1766" s="19"/>
      <c r="F1766" s="20"/>
      <c r="G1766" s="20"/>
      <c r="H1766" s="19"/>
      <c r="I1766" s="20"/>
      <c r="J1766" s="19"/>
      <c r="K1766" s="17"/>
      <c r="L1766" s="649">
        <f>PRODUCT(C1766:K1766)</f>
        <v>45</v>
      </c>
    </row>
    <row r="1767" spans="2:12" ht="16.149999999999999" customHeight="1">
      <c r="B1767" s="650" t="s">
        <v>539</v>
      </c>
      <c r="C1767" s="19">
        <v>45</v>
      </c>
      <c r="D1767" s="20"/>
      <c r="E1767" s="19"/>
      <c r="F1767" s="20"/>
      <c r="G1767" s="20"/>
      <c r="H1767" s="19"/>
      <c r="I1767" s="20"/>
      <c r="J1767" s="19"/>
      <c r="K1767" s="17"/>
      <c r="L1767" s="649">
        <f>PRODUCT(C1767:K1767)</f>
        <v>45</v>
      </c>
    </row>
    <row r="1768" spans="2:12" ht="16.149999999999999" customHeight="1">
      <c r="B1768" s="650"/>
      <c r="C1768" s="19"/>
      <c r="D1768" s="20"/>
      <c r="E1768" s="19"/>
      <c r="F1768" s="20"/>
      <c r="G1768" s="20"/>
      <c r="H1768" s="19"/>
      <c r="I1768" s="20"/>
      <c r="J1768" s="19"/>
      <c r="K1768" s="17"/>
      <c r="L1768" s="649"/>
    </row>
    <row r="1769" spans="2:12" ht="16.149999999999999" customHeight="1">
      <c r="B1769" s="759" t="s">
        <v>438</v>
      </c>
      <c r="C1769" s="19">
        <v>143</v>
      </c>
      <c r="D1769" s="20"/>
      <c r="E1769" s="19"/>
      <c r="F1769" s="20"/>
      <c r="G1769" s="20"/>
      <c r="H1769" s="19"/>
      <c r="I1769" s="20"/>
      <c r="J1769" s="19">
        <v>2</v>
      </c>
      <c r="K1769" s="17"/>
      <c r="L1769" s="649">
        <f>PRODUCT(C1769:K1769)</f>
        <v>286</v>
      </c>
    </row>
    <row r="1770" spans="2:12" ht="16.149999999999999" customHeight="1">
      <c r="B1770" s="650"/>
      <c r="C1770" s="20"/>
      <c r="D1770" s="20"/>
      <c r="E1770" s="20"/>
      <c r="F1770" s="20"/>
      <c r="G1770" s="20"/>
      <c r="H1770" s="19"/>
      <c r="I1770" s="20"/>
      <c r="J1770" s="19"/>
      <c r="K1770" s="17"/>
      <c r="L1770" s="649"/>
    </row>
    <row r="1771" spans="2:12" ht="15.75">
      <c r="B1771" s="1002"/>
      <c r="C1771" s="1003"/>
      <c r="D1771" s="1003"/>
      <c r="E1771" s="1003"/>
      <c r="F1771" s="1003"/>
      <c r="G1771" s="1003"/>
      <c r="H1771" s="1003"/>
      <c r="I1771" s="1003"/>
      <c r="J1771" s="1003"/>
      <c r="K1771" s="1003"/>
      <c r="L1771" s="1004"/>
    </row>
    <row r="1772" spans="2:12">
      <c r="B1772" s="651"/>
      <c r="L1772" s="652"/>
    </row>
    <row r="1773" spans="2:12" ht="15.75">
      <c r="B1773" s="638" t="s">
        <v>398</v>
      </c>
      <c r="C1773" s="8">
        <v>9</v>
      </c>
      <c r="D1773" s="9" t="s">
        <v>1032</v>
      </c>
      <c r="E1773" s="9"/>
      <c r="F1773" s="9"/>
      <c r="G1773" s="9"/>
      <c r="H1773" s="9"/>
      <c r="I1773" s="9"/>
      <c r="J1773" s="9"/>
      <c r="K1773" s="10"/>
      <c r="L1773" s="639"/>
    </row>
    <row r="1774" spans="2:12" ht="15">
      <c r="B1774" s="640"/>
      <c r="C1774" s="579"/>
      <c r="D1774" s="579"/>
      <c r="E1774" s="579"/>
      <c r="F1774" s="579"/>
      <c r="G1774" s="579"/>
      <c r="H1774" s="579"/>
      <c r="I1774" s="579"/>
      <c r="J1774" s="579"/>
      <c r="K1774" s="579"/>
      <c r="L1774" s="641"/>
    </row>
    <row r="1775" spans="2:12" ht="47.25">
      <c r="B1775" s="642" t="s">
        <v>399</v>
      </c>
      <c r="C1775" s="25">
        <f>+'PROPUESTA ECONOMICA(Proponente)'!C174</f>
        <v>9.6</v>
      </c>
      <c r="D1775" s="12" t="str">
        <f>+VLOOKUP('MEMORIAS DE CANTIDADES'!C1775,'PROPUESTA ECONOMICA(Proponente)'!$C$21:$H$310,5,FALSE)</f>
        <v xml:space="preserve">Enchape en pared cerámica  blanca 20x30 o similar (Incluye suministro, pegante, y aplicación de boquilla en juntas). </v>
      </c>
      <c r="E1775" s="13"/>
      <c r="F1775" s="12"/>
      <c r="G1775" s="12"/>
      <c r="H1775" s="12"/>
      <c r="I1775" s="11" t="s">
        <v>400</v>
      </c>
      <c r="J1775" s="12" t="str">
        <f>+VLOOKUP('MEMORIAS DE CANTIDADES'!C1775,'PROPUESTA ECONOMICA(Proponente)'!$C$21:$H$310,6,FALSE)</f>
        <v>m2</v>
      </c>
      <c r="K1775" s="11" t="s">
        <v>401</v>
      </c>
      <c r="L1775" s="643">
        <f>SUM(L1776:L1803)</f>
        <v>928.66000000000008</v>
      </c>
    </row>
    <row r="1776" spans="2:12" ht="15">
      <c r="B1776" s="644"/>
      <c r="C1776" s="16"/>
      <c r="D1776" s="15"/>
      <c r="E1776" s="15"/>
      <c r="F1776" s="15"/>
      <c r="G1776" s="15"/>
      <c r="H1776" s="15"/>
      <c r="I1776" s="15"/>
      <c r="J1776" s="15"/>
      <c r="K1776" s="17"/>
      <c r="L1776" s="645"/>
    </row>
    <row r="1777" spans="2:12" ht="47.25">
      <c r="B1777" s="646" t="s">
        <v>402</v>
      </c>
      <c r="C1777" s="18" t="s">
        <v>403</v>
      </c>
      <c r="D1777" s="18" t="s">
        <v>404</v>
      </c>
      <c r="E1777" s="18" t="s">
        <v>405</v>
      </c>
      <c r="F1777" s="18" t="s">
        <v>406</v>
      </c>
      <c r="G1777" s="18" t="s">
        <v>407</v>
      </c>
      <c r="H1777" s="5" t="s">
        <v>408</v>
      </c>
      <c r="I1777" s="18" t="s">
        <v>409</v>
      </c>
      <c r="J1777" s="5" t="s">
        <v>410</v>
      </c>
      <c r="K1777" s="5" t="s">
        <v>411</v>
      </c>
      <c r="L1777" s="647" t="s">
        <v>412</v>
      </c>
    </row>
    <row r="1778" spans="2:12" ht="15.75">
      <c r="B1778" s="759" t="s">
        <v>598</v>
      </c>
      <c r="C1778" s="19"/>
      <c r="D1778" s="19"/>
      <c r="E1778" s="19"/>
      <c r="F1778" s="19"/>
      <c r="G1778" s="20"/>
      <c r="H1778" s="68"/>
      <c r="I1778" s="17"/>
      <c r="J1778" s="28"/>
      <c r="K1778" s="17"/>
      <c r="L1778" s="649"/>
    </row>
    <row r="1779" spans="2:12" ht="15">
      <c r="B1779" s="769" t="s">
        <v>815</v>
      </c>
      <c r="C1779" s="20"/>
      <c r="D1779" s="19"/>
      <c r="E1779" s="19">
        <v>2</v>
      </c>
      <c r="F1779" s="19">
        <v>20.6</v>
      </c>
      <c r="G1779" s="20"/>
      <c r="H1779" s="68"/>
      <c r="I1779" s="17"/>
      <c r="J1779" s="69"/>
      <c r="K1779" s="17"/>
      <c r="L1779" s="649">
        <f t="shared" ref="L1779:L1800" si="128">PRODUCT(C1779:K1779)</f>
        <v>41.2</v>
      </c>
    </row>
    <row r="1780" spans="2:12" ht="15">
      <c r="B1780" s="769" t="s">
        <v>816</v>
      </c>
      <c r="C1780" s="20"/>
      <c r="D1780" s="20"/>
      <c r="E1780" s="19">
        <v>2</v>
      </c>
      <c r="F1780" s="20">
        <v>51.3</v>
      </c>
      <c r="G1780" s="20"/>
      <c r="H1780" s="20"/>
      <c r="I1780" s="20"/>
      <c r="J1780" s="69"/>
      <c r="K1780" s="17"/>
      <c r="L1780" s="649">
        <f t="shared" si="128"/>
        <v>102.6</v>
      </c>
    </row>
    <row r="1781" spans="2:12" ht="15">
      <c r="B1781" s="769" t="s">
        <v>817</v>
      </c>
      <c r="C1781" s="20"/>
      <c r="D1781" s="20"/>
      <c r="E1781" s="19">
        <v>2</v>
      </c>
      <c r="F1781" s="20">
        <v>34.6</v>
      </c>
      <c r="G1781" s="20"/>
      <c r="H1781" s="19"/>
      <c r="I1781" s="20"/>
      <c r="J1781" s="19"/>
      <c r="K1781" s="17"/>
      <c r="L1781" s="649">
        <f t="shared" si="128"/>
        <v>69.2</v>
      </c>
    </row>
    <row r="1782" spans="2:12" ht="15">
      <c r="B1782" s="769" t="s">
        <v>818</v>
      </c>
      <c r="C1782" s="20"/>
      <c r="D1782" s="20"/>
      <c r="E1782" s="19">
        <v>2</v>
      </c>
      <c r="F1782" s="20">
        <v>29.8</v>
      </c>
      <c r="G1782" s="20"/>
      <c r="H1782" s="19"/>
      <c r="I1782" s="20"/>
      <c r="J1782" s="19"/>
      <c r="K1782" s="17"/>
      <c r="L1782" s="649">
        <f t="shared" si="128"/>
        <v>59.6</v>
      </c>
    </row>
    <row r="1783" spans="2:12" ht="15">
      <c r="B1783" s="769" t="s">
        <v>819</v>
      </c>
      <c r="C1783" s="20"/>
      <c r="D1783" s="20"/>
      <c r="E1783" s="19">
        <v>2</v>
      </c>
      <c r="F1783" s="20">
        <v>33</v>
      </c>
      <c r="G1783" s="20"/>
      <c r="H1783" s="19"/>
      <c r="I1783" s="20"/>
      <c r="J1783" s="19"/>
      <c r="K1783" s="17"/>
      <c r="L1783" s="649">
        <f t="shared" si="128"/>
        <v>66</v>
      </c>
    </row>
    <row r="1784" spans="2:12" ht="15">
      <c r="B1784" s="769" t="s">
        <v>820</v>
      </c>
      <c r="C1784" s="20"/>
      <c r="D1784" s="20"/>
      <c r="E1784" s="19">
        <v>2</v>
      </c>
      <c r="F1784" s="20">
        <v>51.3</v>
      </c>
      <c r="G1784" s="20"/>
      <c r="H1784" s="19"/>
      <c r="I1784" s="20"/>
      <c r="J1784" s="19"/>
      <c r="K1784" s="17"/>
      <c r="L1784" s="649">
        <f t="shared" si="128"/>
        <v>102.6</v>
      </c>
    </row>
    <row r="1785" spans="2:12" ht="15">
      <c r="B1785" s="769" t="s">
        <v>821</v>
      </c>
      <c r="C1785" s="20"/>
      <c r="D1785" s="20"/>
      <c r="E1785" s="19">
        <v>2</v>
      </c>
      <c r="F1785" s="20">
        <v>32</v>
      </c>
      <c r="G1785" s="20"/>
      <c r="H1785" s="19"/>
      <c r="I1785" s="20"/>
      <c r="J1785" s="19"/>
      <c r="K1785" s="17"/>
      <c r="L1785" s="649">
        <f t="shared" si="128"/>
        <v>64</v>
      </c>
    </row>
    <row r="1786" spans="2:12" ht="15">
      <c r="B1786" s="769"/>
      <c r="C1786" s="20"/>
      <c r="D1786" s="20"/>
      <c r="E1786" s="20"/>
      <c r="F1786" s="20"/>
      <c r="G1786" s="20"/>
      <c r="H1786" s="19"/>
      <c r="I1786" s="20"/>
      <c r="J1786" s="19"/>
      <c r="K1786" s="17"/>
      <c r="L1786" s="649"/>
    </row>
    <row r="1787" spans="2:12" ht="15">
      <c r="B1787" s="655"/>
      <c r="C1787" s="20"/>
      <c r="D1787" s="20"/>
      <c r="E1787" s="20"/>
      <c r="F1787" s="20"/>
      <c r="G1787" s="20"/>
      <c r="H1787" s="19"/>
      <c r="I1787" s="20"/>
      <c r="J1787" s="19"/>
      <c r="K1787" s="17"/>
      <c r="L1787" s="649"/>
    </row>
    <row r="1788" spans="2:12" ht="15.75">
      <c r="B1788" s="759" t="s">
        <v>659</v>
      </c>
      <c r="C1788" s="19"/>
      <c r="D1788" s="19"/>
      <c r="E1788" s="19"/>
      <c r="F1788" s="20"/>
      <c r="G1788" s="20"/>
      <c r="H1788" s="19"/>
      <c r="I1788" s="20"/>
      <c r="J1788" s="19"/>
      <c r="K1788" s="17"/>
      <c r="L1788" s="649"/>
    </row>
    <row r="1789" spans="2:12" ht="15">
      <c r="B1789" s="769" t="s">
        <v>817</v>
      </c>
      <c r="C1789" s="20"/>
      <c r="D1789" s="20"/>
      <c r="E1789" s="19">
        <v>2</v>
      </c>
      <c r="F1789" s="20">
        <v>33.4</v>
      </c>
      <c r="G1789" s="20"/>
      <c r="H1789" s="19"/>
      <c r="I1789" s="20">
        <v>2</v>
      </c>
      <c r="J1789" s="19"/>
      <c r="K1789" s="17"/>
      <c r="L1789" s="649">
        <f t="shared" si="128"/>
        <v>133.6</v>
      </c>
    </row>
    <row r="1790" spans="2:12" ht="15">
      <c r="B1790" s="769" t="s">
        <v>819</v>
      </c>
      <c r="C1790" s="20"/>
      <c r="D1790" s="20"/>
      <c r="E1790" s="19">
        <v>2</v>
      </c>
      <c r="F1790" s="20">
        <v>33.4</v>
      </c>
      <c r="G1790" s="20"/>
      <c r="H1790" s="19"/>
      <c r="I1790" s="20">
        <v>2</v>
      </c>
      <c r="J1790" s="19"/>
      <c r="K1790" s="17"/>
      <c r="L1790" s="649">
        <f t="shared" si="128"/>
        <v>133.6</v>
      </c>
    </row>
    <row r="1791" spans="2:12" ht="15">
      <c r="B1791" s="769"/>
      <c r="C1791" s="20"/>
      <c r="D1791" s="20"/>
      <c r="E1791" s="19"/>
      <c r="F1791" s="20"/>
      <c r="G1791" s="20"/>
      <c r="H1791" s="19"/>
      <c r="I1791" s="20"/>
      <c r="J1791" s="19"/>
      <c r="K1791" s="17"/>
      <c r="L1791" s="649"/>
    </row>
    <row r="1792" spans="2:12" ht="15.75">
      <c r="B1792" s="770" t="s">
        <v>782</v>
      </c>
      <c r="C1792" s="20"/>
      <c r="D1792" s="20"/>
      <c r="E1792" s="19"/>
      <c r="F1792" s="20"/>
      <c r="G1792" s="20"/>
      <c r="H1792" s="19"/>
      <c r="I1792" s="20"/>
      <c r="J1792" s="19"/>
      <c r="K1792" s="17"/>
      <c r="L1792" s="649"/>
    </row>
    <row r="1793" spans="2:12" ht="15">
      <c r="B1793" s="769"/>
      <c r="C1793" s="20"/>
      <c r="D1793" s="20"/>
      <c r="E1793" s="19"/>
      <c r="F1793" s="20"/>
      <c r="G1793" s="20"/>
      <c r="H1793" s="19"/>
      <c r="I1793" s="20"/>
      <c r="J1793" s="19"/>
      <c r="K1793" s="17"/>
      <c r="L1793" s="649"/>
    </row>
    <row r="1794" spans="2:12" ht="15.75">
      <c r="B1794" s="770" t="s">
        <v>594</v>
      </c>
      <c r="C1794" s="20"/>
      <c r="D1794" s="20"/>
      <c r="E1794" s="19"/>
      <c r="F1794" s="20"/>
      <c r="G1794" s="20"/>
      <c r="H1794" s="19"/>
      <c r="I1794" s="20"/>
      <c r="J1794" s="19"/>
      <c r="K1794" s="17"/>
      <c r="L1794" s="649"/>
    </row>
    <row r="1795" spans="2:12" ht="15">
      <c r="B1795" s="769" t="s">
        <v>816</v>
      </c>
      <c r="C1795" s="20"/>
      <c r="D1795" s="20"/>
      <c r="E1795" s="19">
        <v>2</v>
      </c>
      <c r="F1795" s="20">
        <v>31.7</v>
      </c>
      <c r="G1795" s="20"/>
      <c r="H1795" s="19"/>
      <c r="I1795" s="20">
        <v>1</v>
      </c>
      <c r="J1795" s="19"/>
      <c r="K1795" s="17"/>
      <c r="L1795" s="649">
        <f t="shared" si="128"/>
        <v>63.4</v>
      </c>
    </row>
    <row r="1796" spans="2:12" ht="15">
      <c r="B1796" s="769" t="s">
        <v>820</v>
      </c>
      <c r="C1796" s="20"/>
      <c r="D1796" s="20"/>
      <c r="E1796" s="19">
        <v>2</v>
      </c>
      <c r="F1796" s="20">
        <v>31.7</v>
      </c>
      <c r="G1796" s="20"/>
      <c r="H1796" s="19"/>
      <c r="I1796" s="20">
        <v>1</v>
      </c>
      <c r="J1796" s="19"/>
      <c r="K1796" s="17"/>
      <c r="L1796" s="649">
        <f t="shared" si="128"/>
        <v>63.4</v>
      </c>
    </row>
    <row r="1797" spans="2:12" ht="15">
      <c r="B1797" s="655"/>
      <c r="C1797" s="20"/>
      <c r="D1797" s="20"/>
      <c r="E1797" s="19"/>
      <c r="F1797" s="20"/>
      <c r="G1797" s="20"/>
      <c r="H1797" s="19"/>
      <c r="I1797" s="20"/>
      <c r="J1797" s="19"/>
      <c r="K1797" s="17"/>
      <c r="L1797" s="649"/>
    </row>
    <row r="1798" spans="2:12" ht="15.75">
      <c r="B1798" s="770" t="s">
        <v>545</v>
      </c>
      <c r="C1798" s="20"/>
      <c r="D1798" s="20"/>
      <c r="E1798" s="19"/>
      <c r="F1798" s="20"/>
      <c r="G1798" s="20"/>
      <c r="H1798" s="19"/>
      <c r="I1798" s="20"/>
      <c r="J1798" s="19"/>
      <c r="K1798" s="17"/>
      <c r="L1798" s="649"/>
    </row>
    <row r="1799" spans="2:12" ht="15">
      <c r="B1799" s="769" t="s">
        <v>546</v>
      </c>
      <c r="C1799" s="20"/>
      <c r="D1799" s="20"/>
      <c r="E1799" s="19">
        <v>2</v>
      </c>
      <c r="F1799" s="20">
        <v>7.57</v>
      </c>
      <c r="G1799" s="20"/>
      <c r="H1799" s="19"/>
      <c r="I1799" s="20"/>
      <c r="J1799" s="19"/>
      <c r="K1799" s="17"/>
      <c r="L1799" s="649">
        <f t="shared" si="128"/>
        <v>15.14</v>
      </c>
    </row>
    <row r="1800" spans="2:12" ht="15">
      <c r="B1800" s="769" t="s">
        <v>547</v>
      </c>
      <c r="C1800" s="20"/>
      <c r="D1800" s="20"/>
      <c r="E1800" s="19">
        <v>2</v>
      </c>
      <c r="F1800" s="20">
        <v>7.16</v>
      </c>
      <c r="G1800" s="20"/>
      <c r="H1800" s="19"/>
      <c r="I1800" s="20"/>
      <c r="J1800" s="19">
        <v>1</v>
      </c>
      <c r="K1800" s="17"/>
      <c r="L1800" s="649">
        <f t="shared" si="128"/>
        <v>14.32</v>
      </c>
    </row>
    <row r="1801" spans="2:12" ht="15">
      <c r="B1801" s="650"/>
      <c r="C1801" s="20"/>
      <c r="D1801" s="20"/>
      <c r="E1801" s="19"/>
      <c r="F1801" s="20"/>
      <c r="G1801" s="20"/>
      <c r="H1801" s="19"/>
      <c r="I1801" s="20"/>
      <c r="J1801" s="19"/>
      <c r="K1801" s="17"/>
      <c r="L1801" s="649"/>
    </row>
    <row r="1802" spans="2:12" ht="15">
      <c r="B1802" s="650"/>
      <c r="C1802" s="20"/>
      <c r="D1802" s="20"/>
      <c r="E1802" s="20"/>
      <c r="F1802" s="20"/>
      <c r="G1802" s="20"/>
      <c r="H1802" s="19"/>
      <c r="I1802" s="20"/>
      <c r="J1802" s="19"/>
      <c r="K1802" s="17"/>
      <c r="L1802" s="649"/>
    </row>
    <row r="1803" spans="2:12" ht="15.75">
      <c r="B1803" s="1002"/>
      <c r="C1803" s="1003"/>
      <c r="D1803" s="1003"/>
      <c r="E1803" s="1003"/>
      <c r="F1803" s="1003"/>
      <c r="G1803" s="1003"/>
      <c r="H1803" s="1003"/>
      <c r="I1803" s="1003"/>
      <c r="J1803" s="1003"/>
      <c r="K1803" s="1003"/>
      <c r="L1803" s="1004"/>
    </row>
    <row r="1804" spans="2:12">
      <c r="B1804" s="651"/>
      <c r="L1804" s="652"/>
    </row>
    <row r="1805" spans="2:12" ht="15.75">
      <c r="B1805" s="638" t="s">
        <v>398</v>
      </c>
      <c r="C1805" s="8">
        <v>9</v>
      </c>
      <c r="D1805" s="9" t="s">
        <v>1032</v>
      </c>
      <c r="E1805" s="9"/>
      <c r="F1805" s="9"/>
      <c r="G1805" s="9"/>
      <c r="H1805" s="9"/>
      <c r="I1805" s="9"/>
      <c r="J1805" s="9"/>
      <c r="K1805" s="10"/>
      <c r="L1805" s="639"/>
    </row>
    <row r="1806" spans="2:12" ht="15">
      <c r="B1806" s="640"/>
      <c r="C1806" s="579"/>
      <c r="D1806" s="579"/>
      <c r="E1806" s="579"/>
      <c r="F1806" s="579"/>
      <c r="G1806" s="579"/>
      <c r="H1806" s="579"/>
      <c r="I1806" s="579"/>
      <c r="J1806" s="579"/>
      <c r="K1806" s="579"/>
      <c r="L1806" s="641"/>
    </row>
    <row r="1807" spans="2:12" ht="31.5">
      <c r="B1807" s="642" t="s">
        <v>399</v>
      </c>
      <c r="C1807" s="25">
        <f>+'PROPUESTA ECONOMICA(Proponente)'!C175</f>
        <v>9.6999999999999993</v>
      </c>
      <c r="D1807" s="12" t="str">
        <f>+VLOOKUP('MEMORIAS DE CANTIDADES'!C1807,'PROPUESTA ECONOMICA(Proponente)'!$C$21:$H$310,5,FALSE)</f>
        <v>Pintura en Vinilo tipo 1, dos manos (incluye suministro)</v>
      </c>
      <c r="E1807" s="13"/>
      <c r="F1807" s="12"/>
      <c r="G1807" s="12"/>
      <c r="H1807" s="12"/>
      <c r="I1807" s="11" t="s">
        <v>400</v>
      </c>
      <c r="J1807" s="12" t="str">
        <f>+VLOOKUP('MEMORIAS DE CANTIDADES'!C1807,'PROPUESTA ECONOMICA(Proponente)'!$C$21:$H$310,6,FALSE)</f>
        <v>m2</v>
      </c>
      <c r="K1807" s="11" t="s">
        <v>401</v>
      </c>
      <c r="L1807" s="643">
        <f>SUM(L1808:L1857)</f>
        <v>1094.7040000000002</v>
      </c>
    </row>
    <row r="1808" spans="2:12" ht="15">
      <c r="B1808" s="644"/>
      <c r="C1808" s="16"/>
      <c r="D1808" s="15"/>
      <c r="E1808" s="15"/>
      <c r="F1808" s="15"/>
      <c r="G1808" s="15"/>
      <c r="H1808" s="15"/>
      <c r="I1808" s="15"/>
      <c r="J1808" s="15"/>
      <c r="K1808" s="17"/>
      <c r="L1808" s="645"/>
    </row>
    <row r="1809" spans="2:12" ht="47.25">
      <c r="B1809" s="646" t="s">
        <v>402</v>
      </c>
      <c r="C1809" s="18" t="s">
        <v>403</v>
      </c>
      <c r="D1809" s="18" t="s">
        <v>404</v>
      </c>
      <c r="E1809" s="18" t="s">
        <v>405</v>
      </c>
      <c r="F1809" s="18" t="s">
        <v>406</v>
      </c>
      <c r="G1809" s="18" t="s">
        <v>407</v>
      </c>
      <c r="H1809" s="5" t="s">
        <v>408</v>
      </c>
      <c r="I1809" s="18" t="s">
        <v>409</v>
      </c>
      <c r="J1809" s="5" t="s">
        <v>410</v>
      </c>
      <c r="K1809" s="5" t="s">
        <v>411</v>
      </c>
      <c r="L1809" s="647" t="s">
        <v>412</v>
      </c>
    </row>
    <row r="1810" spans="2:12" ht="15.75">
      <c r="B1810" s="759" t="s">
        <v>598</v>
      </c>
      <c r="C1810" s="19"/>
      <c r="D1810" s="19"/>
      <c r="E1810" s="19"/>
      <c r="F1810" s="19"/>
      <c r="G1810" s="20"/>
      <c r="H1810" s="68"/>
      <c r="I1810" s="17"/>
      <c r="J1810" s="28"/>
      <c r="K1810" s="17"/>
      <c r="L1810" s="649"/>
    </row>
    <row r="1811" spans="2:12" ht="15">
      <c r="B1811" s="769" t="s">
        <v>815</v>
      </c>
      <c r="C1811" s="20"/>
      <c r="D1811" s="19"/>
      <c r="E1811" s="19">
        <v>2.8</v>
      </c>
      <c r="F1811" s="19">
        <v>20.6</v>
      </c>
      <c r="G1811" s="20"/>
      <c r="H1811" s="68"/>
      <c r="I1811" s="17"/>
      <c r="J1811" s="69"/>
      <c r="K1811" s="17"/>
      <c r="L1811" s="649">
        <f t="shared" ref="L1811:L1819" si="129">PRODUCT(C1811:K1811)</f>
        <v>57.68</v>
      </c>
    </row>
    <row r="1812" spans="2:12" ht="15">
      <c r="B1812" s="769" t="s">
        <v>816</v>
      </c>
      <c r="C1812" s="20"/>
      <c r="D1812" s="20"/>
      <c r="E1812" s="19">
        <v>0.6</v>
      </c>
      <c r="F1812" s="20">
        <v>51.3</v>
      </c>
      <c r="G1812" s="20"/>
      <c r="H1812" s="20"/>
      <c r="I1812" s="20"/>
      <c r="J1812" s="69"/>
      <c r="K1812" s="17"/>
      <c r="L1812" s="649">
        <f t="shared" si="129"/>
        <v>30.779999999999998</v>
      </c>
    </row>
    <row r="1813" spans="2:12" ht="15">
      <c r="B1813" s="769" t="s">
        <v>817</v>
      </c>
      <c r="C1813" s="20"/>
      <c r="D1813" s="20"/>
      <c r="E1813" s="19">
        <v>0.6</v>
      </c>
      <c r="F1813" s="20">
        <v>34.6</v>
      </c>
      <c r="G1813" s="20"/>
      <c r="H1813" s="19"/>
      <c r="I1813" s="20"/>
      <c r="J1813" s="19"/>
      <c r="K1813" s="17"/>
      <c r="L1813" s="649">
        <f t="shared" si="129"/>
        <v>20.76</v>
      </c>
    </row>
    <row r="1814" spans="2:12" ht="15">
      <c r="B1814" s="769" t="s">
        <v>818</v>
      </c>
      <c r="C1814" s="20"/>
      <c r="D1814" s="20"/>
      <c r="E1814" s="19">
        <v>0.6</v>
      </c>
      <c r="F1814" s="20">
        <v>29.8</v>
      </c>
      <c r="G1814" s="20"/>
      <c r="H1814" s="19"/>
      <c r="I1814" s="20"/>
      <c r="J1814" s="19"/>
      <c r="K1814" s="17"/>
      <c r="L1814" s="649">
        <f t="shared" si="129"/>
        <v>17.88</v>
      </c>
    </row>
    <row r="1815" spans="2:12" ht="15">
      <c r="B1815" s="769" t="s">
        <v>819</v>
      </c>
      <c r="C1815" s="20"/>
      <c r="D1815" s="20"/>
      <c r="E1815" s="19">
        <v>0.6</v>
      </c>
      <c r="F1815" s="20">
        <v>33</v>
      </c>
      <c r="G1815" s="20"/>
      <c r="H1815" s="19"/>
      <c r="I1815" s="20"/>
      <c r="J1815" s="19"/>
      <c r="K1815" s="17"/>
      <c r="L1815" s="649">
        <f t="shared" si="129"/>
        <v>19.8</v>
      </c>
    </row>
    <row r="1816" spans="2:12" ht="15">
      <c r="B1816" s="769" t="s">
        <v>820</v>
      </c>
      <c r="C1816" s="20"/>
      <c r="D1816" s="20"/>
      <c r="E1816" s="19">
        <v>0.6</v>
      </c>
      <c r="F1816" s="20">
        <v>51.3</v>
      </c>
      <c r="G1816" s="20"/>
      <c r="H1816" s="19"/>
      <c r="I1816" s="20"/>
      <c r="J1816" s="19"/>
      <c r="K1816" s="17"/>
      <c r="L1816" s="649">
        <f t="shared" si="129"/>
        <v>30.779999999999998</v>
      </c>
    </row>
    <row r="1817" spans="2:12" ht="15">
      <c r="B1817" s="769" t="s">
        <v>821</v>
      </c>
      <c r="C1817" s="20"/>
      <c r="D1817" s="20"/>
      <c r="E1817" s="19">
        <v>2.8</v>
      </c>
      <c r="F1817" s="20">
        <v>32</v>
      </c>
      <c r="G1817" s="20"/>
      <c r="H1817" s="19"/>
      <c r="I1817" s="20"/>
      <c r="J1817" s="19"/>
      <c r="K1817" s="17"/>
      <c r="L1817" s="649">
        <f t="shared" si="129"/>
        <v>89.6</v>
      </c>
    </row>
    <row r="1818" spans="2:12" ht="15">
      <c r="B1818" s="769" t="s">
        <v>824</v>
      </c>
      <c r="C1818" s="20"/>
      <c r="D1818" s="20"/>
      <c r="E1818" s="19">
        <v>2.8</v>
      </c>
      <c r="F1818" s="20">
        <v>26</v>
      </c>
      <c r="G1818" s="20"/>
      <c r="H1818" s="19"/>
      <c r="I1818" s="20"/>
      <c r="J1818" s="19"/>
      <c r="K1818" s="17"/>
      <c r="L1818" s="649">
        <f t="shared" si="129"/>
        <v>72.8</v>
      </c>
    </row>
    <row r="1819" spans="2:12" ht="15">
      <c r="B1819" s="769" t="s">
        <v>526</v>
      </c>
      <c r="C1819" s="20">
        <f>-6-6.45*2</f>
        <v>-18.899999999999999</v>
      </c>
      <c r="D1819" s="20"/>
      <c r="E1819" s="19"/>
      <c r="F1819" s="20"/>
      <c r="G1819" s="20"/>
      <c r="H1819" s="19"/>
      <c r="I1819" s="20"/>
      <c r="J1819" s="19"/>
      <c r="K1819" s="17"/>
      <c r="L1819" s="649">
        <f t="shared" si="129"/>
        <v>-18.899999999999999</v>
      </c>
    </row>
    <row r="1820" spans="2:12" ht="15">
      <c r="B1820" s="655"/>
      <c r="C1820" s="20"/>
      <c r="D1820" s="20"/>
      <c r="E1820" s="20"/>
      <c r="F1820" s="20"/>
      <c r="G1820" s="20"/>
      <c r="H1820" s="19"/>
      <c r="I1820" s="20"/>
      <c r="J1820" s="19"/>
      <c r="K1820" s="17"/>
      <c r="L1820" s="649"/>
    </row>
    <row r="1821" spans="2:12" ht="15.75">
      <c r="B1821" s="759" t="s">
        <v>659</v>
      </c>
      <c r="C1821" s="19"/>
      <c r="D1821" s="19"/>
      <c r="E1821" s="19"/>
      <c r="F1821" s="20"/>
      <c r="G1821" s="20"/>
      <c r="H1821" s="19"/>
      <c r="I1821" s="20"/>
      <c r="J1821" s="19"/>
      <c r="K1821" s="17"/>
      <c r="L1821" s="649"/>
    </row>
    <row r="1822" spans="2:12" ht="15">
      <c r="B1822" s="769" t="s">
        <v>817</v>
      </c>
      <c r="C1822" s="20"/>
      <c r="D1822" s="20"/>
      <c r="E1822" s="19">
        <v>0.6</v>
      </c>
      <c r="F1822" s="20">
        <v>33.4</v>
      </c>
      <c r="G1822" s="20"/>
      <c r="H1822" s="19"/>
      <c r="I1822" s="20">
        <v>2</v>
      </c>
      <c r="J1822" s="19"/>
      <c r="K1822" s="17"/>
      <c r="L1822" s="649">
        <f t="shared" ref="L1822:L1829" si="130">PRODUCT(C1822:K1822)</f>
        <v>40.08</v>
      </c>
    </row>
    <row r="1823" spans="2:12" ht="15">
      <c r="B1823" s="769" t="s">
        <v>819</v>
      </c>
      <c r="C1823" s="20"/>
      <c r="D1823" s="20"/>
      <c r="E1823" s="19">
        <v>0.6</v>
      </c>
      <c r="F1823" s="20">
        <v>33.4</v>
      </c>
      <c r="G1823" s="20"/>
      <c r="H1823" s="19"/>
      <c r="I1823" s="20">
        <v>2</v>
      </c>
      <c r="J1823" s="19"/>
      <c r="K1823" s="17"/>
      <c r="L1823" s="649">
        <f t="shared" si="130"/>
        <v>40.08</v>
      </c>
    </row>
    <row r="1824" spans="2:12" ht="15">
      <c r="B1824" s="769" t="s">
        <v>824</v>
      </c>
      <c r="C1824" s="20"/>
      <c r="D1824" s="20"/>
      <c r="E1824" s="19">
        <v>2.8</v>
      </c>
      <c r="F1824" s="20">
        <v>24</v>
      </c>
      <c r="G1824" s="20"/>
      <c r="H1824" s="19"/>
      <c r="I1824" s="20">
        <v>2</v>
      </c>
      <c r="J1824" s="19"/>
      <c r="K1824" s="17"/>
      <c r="L1824" s="649">
        <f t="shared" si="130"/>
        <v>134.39999999999998</v>
      </c>
    </row>
    <row r="1825" spans="2:12" ht="15">
      <c r="B1825" s="769"/>
      <c r="C1825" s="20"/>
      <c r="D1825" s="20"/>
      <c r="E1825" s="19"/>
      <c r="F1825" s="20"/>
      <c r="G1825" s="20"/>
      <c r="H1825" s="19"/>
      <c r="I1825" s="20"/>
      <c r="J1825" s="19"/>
      <c r="K1825" s="17"/>
      <c r="L1825" s="649"/>
    </row>
    <row r="1826" spans="2:12" ht="15.75">
      <c r="B1826" s="770" t="s">
        <v>782</v>
      </c>
      <c r="C1826" s="20"/>
      <c r="D1826" s="20"/>
      <c r="E1826" s="19"/>
      <c r="F1826" s="20"/>
      <c r="G1826" s="20"/>
      <c r="H1826" s="19"/>
      <c r="I1826" s="20"/>
      <c r="J1826" s="19"/>
      <c r="K1826" s="17"/>
      <c r="L1826" s="649"/>
    </row>
    <row r="1827" spans="2:12" ht="15">
      <c r="B1827" s="769" t="s">
        <v>822</v>
      </c>
      <c r="C1827" s="20"/>
      <c r="D1827" s="20"/>
      <c r="E1827" s="19">
        <v>0.6</v>
      </c>
      <c r="F1827" s="20">
        <v>32.450000000000003</v>
      </c>
      <c r="G1827" s="20"/>
      <c r="H1827" s="19"/>
      <c r="I1827" s="20"/>
      <c r="J1827" s="19"/>
      <c r="K1827" s="17"/>
      <c r="L1827" s="649">
        <f t="shared" si="130"/>
        <v>19.470000000000002</v>
      </c>
    </row>
    <row r="1828" spans="2:12" ht="15">
      <c r="B1828" s="769" t="s">
        <v>541</v>
      </c>
      <c r="C1828" s="20"/>
      <c r="D1828" s="20"/>
      <c r="E1828" s="19">
        <v>0.6</v>
      </c>
      <c r="F1828" s="20">
        <v>17.149999999999999</v>
      </c>
      <c r="G1828" s="20"/>
      <c r="H1828" s="19"/>
      <c r="I1828" s="20"/>
      <c r="J1828" s="19"/>
      <c r="K1828" s="17"/>
      <c r="L1828" s="649">
        <f t="shared" si="130"/>
        <v>10.29</v>
      </c>
    </row>
    <row r="1829" spans="2:12" ht="15">
      <c r="B1829" s="769" t="s">
        <v>590</v>
      </c>
      <c r="C1829" s="20"/>
      <c r="D1829" s="20"/>
      <c r="E1829" s="19">
        <v>0.6</v>
      </c>
      <c r="F1829" s="20">
        <v>17.149999999999999</v>
      </c>
      <c r="G1829" s="20"/>
      <c r="H1829" s="19"/>
      <c r="I1829" s="20"/>
      <c r="J1829" s="19"/>
      <c r="K1829" s="17"/>
      <c r="L1829" s="649">
        <f t="shared" si="130"/>
        <v>10.29</v>
      </c>
    </row>
    <row r="1830" spans="2:12" ht="15">
      <c r="B1830" s="769" t="s">
        <v>823</v>
      </c>
      <c r="C1830" s="20"/>
      <c r="D1830" s="20"/>
      <c r="E1830" s="19">
        <v>0.6</v>
      </c>
      <c r="F1830" s="20">
        <v>32.450000000000003</v>
      </c>
      <c r="G1830" s="20"/>
      <c r="H1830" s="19"/>
      <c r="I1830" s="20"/>
      <c r="J1830" s="19"/>
      <c r="K1830" s="17"/>
      <c r="L1830" s="649">
        <f>PRODUCT(C1830:K1830)</f>
        <v>19.470000000000002</v>
      </c>
    </row>
    <row r="1831" spans="2:12" ht="15">
      <c r="B1831" s="769"/>
      <c r="C1831" s="20"/>
      <c r="D1831" s="20"/>
      <c r="E1831" s="19"/>
      <c r="F1831" s="20"/>
      <c r="G1831" s="20"/>
      <c r="H1831" s="19"/>
      <c r="I1831" s="20"/>
      <c r="J1831" s="19"/>
      <c r="K1831" s="17"/>
      <c r="L1831" s="649"/>
    </row>
    <row r="1832" spans="2:12" ht="15.75">
      <c r="B1832" s="770" t="s">
        <v>594</v>
      </c>
      <c r="C1832" s="20"/>
      <c r="D1832" s="20"/>
      <c r="E1832" s="19"/>
      <c r="F1832" s="20"/>
      <c r="G1832" s="20"/>
      <c r="H1832" s="19"/>
      <c r="I1832" s="20"/>
      <c r="J1832" s="19"/>
      <c r="K1832" s="17"/>
      <c r="L1832" s="649"/>
    </row>
    <row r="1833" spans="2:12" ht="15">
      <c r="B1833" s="769" t="s">
        <v>816</v>
      </c>
      <c r="C1833" s="20"/>
      <c r="D1833" s="20"/>
      <c r="E1833" s="19">
        <v>0.6</v>
      </c>
      <c r="F1833" s="20">
        <v>31.7</v>
      </c>
      <c r="G1833" s="20"/>
      <c r="H1833" s="19"/>
      <c r="I1833" s="20">
        <v>1</v>
      </c>
      <c r="J1833" s="19"/>
      <c r="K1833" s="17"/>
      <c r="L1833" s="649">
        <f t="shared" ref="L1833:L1835" si="131">PRODUCT(C1833:K1833)</f>
        <v>19.02</v>
      </c>
    </row>
    <row r="1834" spans="2:12" ht="15">
      <c r="B1834" s="769" t="s">
        <v>820</v>
      </c>
      <c r="C1834" s="20"/>
      <c r="D1834" s="20"/>
      <c r="E1834" s="19">
        <v>0.6</v>
      </c>
      <c r="F1834" s="20">
        <v>31.7</v>
      </c>
      <c r="G1834" s="20"/>
      <c r="H1834" s="19"/>
      <c r="I1834" s="20">
        <v>1</v>
      </c>
      <c r="J1834" s="19"/>
      <c r="K1834" s="17"/>
      <c r="L1834" s="649">
        <f t="shared" si="131"/>
        <v>19.02</v>
      </c>
    </row>
    <row r="1835" spans="2:12" ht="15">
      <c r="B1835" s="769" t="s">
        <v>825</v>
      </c>
      <c r="C1835" s="20"/>
      <c r="D1835" s="20"/>
      <c r="E1835" s="19">
        <v>3.1</v>
      </c>
      <c r="F1835" s="20">
        <v>16</v>
      </c>
      <c r="G1835" s="20"/>
      <c r="H1835" s="19"/>
      <c r="I1835" s="20">
        <v>2</v>
      </c>
      <c r="J1835" s="19"/>
      <c r="K1835" s="17"/>
      <c r="L1835" s="649">
        <f t="shared" si="131"/>
        <v>99.2</v>
      </c>
    </row>
    <row r="1836" spans="2:12" ht="15">
      <c r="B1836" s="655"/>
      <c r="C1836" s="20"/>
      <c r="D1836" s="20"/>
      <c r="E1836" s="19"/>
      <c r="F1836" s="20"/>
      <c r="G1836" s="20"/>
      <c r="H1836" s="19"/>
      <c r="I1836" s="20"/>
      <c r="J1836" s="19"/>
      <c r="K1836" s="17"/>
      <c r="L1836" s="649"/>
    </row>
    <row r="1837" spans="2:12" ht="15.75">
      <c r="B1837" s="770" t="s">
        <v>545</v>
      </c>
      <c r="C1837" s="20"/>
      <c r="D1837" s="20"/>
      <c r="E1837" s="19"/>
      <c r="F1837" s="20"/>
      <c r="G1837" s="20"/>
      <c r="H1837" s="19"/>
      <c r="I1837" s="20"/>
      <c r="J1837" s="19"/>
      <c r="K1837" s="17"/>
      <c r="L1837" s="649"/>
    </row>
    <row r="1838" spans="2:12" ht="15">
      <c r="B1838" s="769" t="s">
        <v>546</v>
      </c>
      <c r="C1838" s="20"/>
      <c r="D1838" s="20"/>
      <c r="E1838" s="19">
        <v>0.6</v>
      </c>
      <c r="F1838" s="20">
        <v>7.57</v>
      </c>
      <c r="G1838" s="20"/>
      <c r="H1838" s="19"/>
      <c r="I1838" s="20"/>
      <c r="J1838" s="19"/>
      <c r="K1838" s="17">
        <v>2</v>
      </c>
      <c r="L1838" s="649">
        <f t="shared" ref="L1838:L1839" si="132">PRODUCT(C1838:K1838)</f>
        <v>9.0839999999999996</v>
      </c>
    </row>
    <row r="1839" spans="2:12" ht="15">
      <c r="B1839" s="650"/>
      <c r="C1839" s="20"/>
      <c r="D1839" s="20"/>
      <c r="E1839" s="19"/>
      <c r="F1839" s="20"/>
      <c r="G1839" s="20"/>
      <c r="H1839" s="19"/>
      <c r="I1839" s="20"/>
      <c r="J1839" s="19"/>
      <c r="K1839" s="17"/>
      <c r="L1839" s="649">
        <f t="shared" si="132"/>
        <v>0</v>
      </c>
    </row>
    <row r="1840" spans="2:12" ht="15.75">
      <c r="B1840" s="770" t="s">
        <v>545</v>
      </c>
      <c r="C1840" s="20"/>
      <c r="D1840" s="20"/>
      <c r="E1840" s="19"/>
      <c r="F1840" s="20"/>
      <c r="G1840" s="20"/>
      <c r="H1840" s="19"/>
      <c r="I1840" s="20"/>
      <c r="J1840" s="19"/>
      <c r="K1840" s="17"/>
      <c r="L1840" s="649"/>
    </row>
    <row r="1841" spans="2:12" ht="15">
      <c r="B1841" s="769" t="s">
        <v>438</v>
      </c>
      <c r="C1841" s="20"/>
      <c r="D1841" s="20"/>
      <c r="E1841" s="39"/>
      <c r="F1841" s="39"/>
      <c r="G1841" s="20"/>
      <c r="H1841" s="19"/>
      <c r="I1841" s="20"/>
      <c r="J1841" s="19"/>
      <c r="K1841" s="17"/>
      <c r="L1841" s="649"/>
    </row>
    <row r="1842" spans="2:12" ht="15">
      <c r="B1842" s="769" t="s">
        <v>549</v>
      </c>
      <c r="C1842" s="20"/>
      <c r="D1842" s="20"/>
      <c r="E1842" s="19">
        <v>1</v>
      </c>
      <c r="F1842" s="20">
        <v>8.5</v>
      </c>
      <c r="G1842" s="20"/>
      <c r="H1842" s="19"/>
      <c r="I1842" s="20"/>
      <c r="J1842" s="19"/>
      <c r="K1842" s="17">
        <v>2</v>
      </c>
      <c r="L1842" s="649">
        <f t="shared" ref="L1842:L1851" si="133">PRODUCT(C1842:K1842)</f>
        <v>17</v>
      </c>
    </row>
    <row r="1843" spans="2:12" ht="15" customHeight="1">
      <c r="B1843" s="769" t="s">
        <v>535</v>
      </c>
      <c r="C1843" s="20"/>
      <c r="D1843" s="20"/>
      <c r="E1843" s="19">
        <v>3</v>
      </c>
      <c r="F1843" s="20">
        <v>16.8</v>
      </c>
      <c r="G1843" s="20"/>
      <c r="H1843" s="19"/>
      <c r="I1843" s="20"/>
      <c r="J1843" s="19"/>
      <c r="K1843" s="17">
        <v>2</v>
      </c>
      <c r="L1843" s="649">
        <f t="shared" si="133"/>
        <v>100.80000000000001</v>
      </c>
    </row>
    <row r="1844" spans="2:12" ht="15" customHeight="1">
      <c r="B1844" s="769" t="s">
        <v>526</v>
      </c>
      <c r="C1844" s="20">
        <v>-4</v>
      </c>
      <c r="D1844" s="20"/>
      <c r="E1844" s="19"/>
      <c r="F1844" s="20"/>
      <c r="G1844" s="20"/>
      <c r="H1844" s="19"/>
      <c r="I1844" s="20"/>
      <c r="J1844" s="19"/>
      <c r="K1844" s="17">
        <v>2</v>
      </c>
      <c r="L1844" s="649">
        <f t="shared" si="133"/>
        <v>-8</v>
      </c>
    </row>
    <row r="1845" spans="2:12" ht="15" customHeight="1">
      <c r="B1845" s="769" t="s">
        <v>526</v>
      </c>
      <c r="C1845" s="20"/>
      <c r="D1845" s="20"/>
      <c r="E1845" s="19">
        <v>-1.3</v>
      </c>
      <c r="F1845" s="20">
        <v>2.4</v>
      </c>
      <c r="G1845" s="20"/>
      <c r="H1845" s="19"/>
      <c r="I1845" s="20"/>
      <c r="J1845" s="19">
        <v>2</v>
      </c>
      <c r="K1845" s="17">
        <v>2</v>
      </c>
      <c r="L1845" s="649">
        <f>PRODUCT(C1845:K1845)</f>
        <v>-12.48</v>
      </c>
    </row>
    <row r="1846" spans="2:12" ht="15" customHeight="1">
      <c r="B1846" s="769"/>
      <c r="C1846" s="20"/>
      <c r="D1846" s="20"/>
      <c r="E1846" s="19"/>
      <c r="F1846" s="20"/>
      <c r="G1846" s="20"/>
      <c r="H1846" s="19"/>
      <c r="I1846" s="20"/>
      <c r="J1846" s="19"/>
      <c r="K1846" s="17"/>
      <c r="L1846" s="649"/>
    </row>
    <row r="1847" spans="2:12" ht="15">
      <c r="B1847" s="648"/>
      <c r="C1847" s="20"/>
      <c r="D1847" s="20"/>
      <c r="E1847" s="19"/>
      <c r="F1847" s="20"/>
      <c r="G1847" s="20"/>
      <c r="H1847" s="19"/>
      <c r="I1847" s="20"/>
      <c r="J1847" s="19"/>
      <c r="K1847" s="17"/>
      <c r="L1847" s="649"/>
    </row>
    <row r="1848" spans="2:12" ht="15">
      <c r="B1848" s="648" t="s">
        <v>528</v>
      </c>
      <c r="C1848" s="20"/>
      <c r="D1848" s="20"/>
      <c r="E1848" s="19">
        <v>2.8</v>
      </c>
      <c r="F1848" s="20">
        <v>14</v>
      </c>
      <c r="G1848" s="20"/>
      <c r="H1848" s="19"/>
      <c r="I1848" s="20"/>
      <c r="J1848" s="19">
        <v>2</v>
      </c>
      <c r="K1848" s="17"/>
      <c r="L1848" s="649">
        <f>PRODUCT(C1848:K1848)</f>
        <v>78.399999999999991</v>
      </c>
    </row>
    <row r="1849" spans="2:12" ht="15">
      <c r="B1849" s="648" t="s">
        <v>529</v>
      </c>
      <c r="C1849" s="20"/>
      <c r="D1849" s="20"/>
      <c r="E1849" s="19">
        <v>2.8</v>
      </c>
      <c r="F1849" s="20">
        <v>14</v>
      </c>
      <c r="G1849" s="20"/>
      <c r="H1849" s="19"/>
      <c r="I1849" s="20"/>
      <c r="J1849" s="19"/>
      <c r="K1849" s="17"/>
      <c r="L1849" s="649">
        <f t="shared" si="133"/>
        <v>39.199999999999996</v>
      </c>
    </row>
    <row r="1850" spans="2:12" ht="15">
      <c r="B1850" s="648" t="s">
        <v>530</v>
      </c>
      <c r="C1850" s="20"/>
      <c r="D1850" s="20"/>
      <c r="E1850" s="19">
        <v>2.8</v>
      </c>
      <c r="F1850" s="20">
        <v>14</v>
      </c>
      <c r="G1850" s="20"/>
      <c r="H1850" s="19"/>
      <c r="I1850" s="20"/>
      <c r="J1850" s="19"/>
      <c r="K1850" s="17"/>
      <c r="L1850" s="649">
        <f t="shared" si="133"/>
        <v>39.199999999999996</v>
      </c>
    </row>
    <row r="1851" spans="2:12" ht="15">
      <c r="B1851" s="648" t="s">
        <v>526</v>
      </c>
      <c r="C1851" s="20">
        <v>6</v>
      </c>
      <c r="D1851" s="20"/>
      <c r="E1851" s="19"/>
      <c r="F1851" s="20"/>
      <c r="G1851" s="20"/>
      <c r="H1851" s="19"/>
      <c r="I1851" s="20"/>
      <c r="J1851" s="19">
        <v>4</v>
      </c>
      <c r="K1851" s="17"/>
      <c r="L1851" s="649">
        <f t="shared" si="133"/>
        <v>24</v>
      </c>
    </row>
    <row r="1852" spans="2:12" ht="15">
      <c r="B1852" s="648"/>
      <c r="C1852" s="20"/>
      <c r="D1852" s="20"/>
      <c r="E1852" s="19"/>
      <c r="F1852" s="20"/>
      <c r="G1852" s="20"/>
      <c r="H1852" s="19"/>
      <c r="I1852" s="20"/>
      <c r="J1852" s="19"/>
      <c r="K1852" s="17"/>
      <c r="L1852" s="649"/>
    </row>
    <row r="1853" spans="2:12" ht="15">
      <c r="B1853" s="648"/>
      <c r="C1853" s="20"/>
      <c r="D1853" s="20"/>
      <c r="E1853" s="19"/>
      <c r="F1853" s="20"/>
      <c r="G1853" s="20"/>
      <c r="H1853" s="19"/>
      <c r="I1853" s="20"/>
      <c r="J1853" s="19"/>
      <c r="K1853" s="17"/>
      <c r="L1853" s="649"/>
    </row>
    <row r="1854" spans="2:12" ht="15">
      <c r="B1854" s="648"/>
      <c r="C1854" s="20"/>
      <c r="D1854" s="20"/>
      <c r="E1854" s="19">
        <v>1</v>
      </c>
      <c r="F1854" s="20">
        <v>45</v>
      </c>
      <c r="G1854" s="20"/>
      <c r="H1854" s="19"/>
      <c r="I1854" s="20"/>
      <c r="J1854" s="19"/>
      <c r="K1854" s="17"/>
      <c r="L1854" s="649">
        <f t="shared" ref="L1854:L1856" si="134">PRODUCT(C1854:K1854)</f>
        <v>45</v>
      </c>
    </row>
    <row r="1855" spans="2:12" ht="15">
      <c r="B1855" s="650" t="s">
        <v>934</v>
      </c>
      <c r="C1855" s="20"/>
      <c r="D1855" s="20"/>
      <c r="E1855" s="20">
        <v>2</v>
      </c>
      <c r="F1855" s="20">
        <v>3</v>
      </c>
      <c r="G1855" s="20"/>
      <c r="H1855" s="19"/>
      <c r="I1855" s="20"/>
      <c r="J1855" s="19"/>
      <c r="K1855" s="17"/>
      <c r="L1855" s="649">
        <f t="shared" si="134"/>
        <v>6</v>
      </c>
    </row>
    <row r="1856" spans="2:12" ht="15">
      <c r="B1856" s="650"/>
      <c r="C1856" s="20"/>
      <c r="D1856" s="20"/>
      <c r="E1856" s="20">
        <v>1</v>
      </c>
      <c r="F1856" s="20">
        <v>24</v>
      </c>
      <c r="G1856" s="20"/>
      <c r="H1856" s="19"/>
      <c r="I1856" s="20"/>
      <c r="J1856" s="19"/>
      <c r="K1856" s="17"/>
      <c r="L1856" s="649">
        <f t="shared" si="134"/>
        <v>24</v>
      </c>
    </row>
    <row r="1857" spans="2:12" ht="15.75">
      <c r="B1857" s="1002"/>
      <c r="C1857" s="1003"/>
      <c r="D1857" s="1003"/>
      <c r="E1857" s="1003"/>
      <c r="F1857" s="1003"/>
      <c r="G1857" s="1003"/>
      <c r="H1857" s="1003"/>
      <c r="I1857" s="1003"/>
      <c r="J1857" s="1003"/>
      <c r="K1857" s="1003"/>
      <c r="L1857" s="1004"/>
    </row>
    <row r="1858" spans="2:12">
      <c r="B1858" s="651"/>
      <c r="L1858" s="652"/>
    </row>
    <row r="1859" spans="2:12" ht="15.75">
      <c r="B1859" s="638" t="s">
        <v>398</v>
      </c>
      <c r="C1859" s="8">
        <v>9</v>
      </c>
      <c r="D1859" s="9" t="s">
        <v>1032</v>
      </c>
      <c r="E1859" s="9"/>
      <c r="F1859" s="9"/>
      <c r="G1859" s="9"/>
      <c r="H1859" s="9"/>
      <c r="I1859" s="9"/>
      <c r="J1859" s="9"/>
      <c r="K1859" s="10"/>
      <c r="L1859" s="639"/>
    </row>
    <row r="1860" spans="2:12" ht="15">
      <c r="B1860" s="640"/>
      <c r="C1860" s="579"/>
      <c r="D1860" s="579"/>
      <c r="E1860" s="579"/>
      <c r="F1860" s="579"/>
      <c r="G1860" s="579"/>
      <c r="H1860" s="579"/>
      <c r="I1860" s="579"/>
      <c r="J1860" s="579"/>
      <c r="K1860" s="579"/>
      <c r="L1860" s="641"/>
    </row>
    <row r="1861" spans="2:12" ht="31.5">
      <c r="B1861" s="642" t="s">
        <v>399</v>
      </c>
      <c r="C1861" s="25">
        <f>+'PROPUESTA ECONOMICA(Proponente)'!C176</f>
        <v>9.8000000000000007</v>
      </c>
      <c r="D1861" s="12" t="str">
        <f>+VLOOKUP('MEMORIAS DE CANTIDADES'!C1861,'PROPUESTA ECONOMICA(Proponente)'!$C$21:$H$310,5,FALSE)</f>
        <v>Pintura en Vinilo tipo Koraza o similar para exterior, dos manos, incluye suministro.</v>
      </c>
      <c r="E1861" s="13"/>
      <c r="F1861" s="12"/>
      <c r="G1861" s="12"/>
      <c r="H1861" s="12"/>
      <c r="I1861" s="11" t="s">
        <v>400</v>
      </c>
      <c r="J1861" s="12" t="str">
        <f>+VLOOKUP('MEMORIAS DE CANTIDADES'!C1861,'PROPUESTA ECONOMICA(Proponente)'!$C$21:$H$310,6,FALSE)</f>
        <v>m2</v>
      </c>
      <c r="K1861" s="11" t="s">
        <v>401</v>
      </c>
      <c r="L1861" s="643">
        <f>SUM(L1862:L1907)</f>
        <v>7531.8979999999992</v>
      </c>
    </row>
    <row r="1862" spans="2:12" ht="15">
      <c r="B1862" s="644"/>
      <c r="C1862" s="16"/>
      <c r="D1862" s="15"/>
      <c r="E1862" s="15"/>
      <c r="F1862" s="15"/>
      <c r="G1862" s="15"/>
      <c r="H1862" s="15"/>
      <c r="I1862" s="15"/>
      <c r="J1862" s="15"/>
      <c r="K1862" s="17"/>
      <c r="L1862" s="645"/>
    </row>
    <row r="1863" spans="2:12" ht="47.25">
      <c r="B1863" s="646" t="s">
        <v>402</v>
      </c>
      <c r="C1863" s="18" t="s">
        <v>403</v>
      </c>
      <c r="D1863" s="18" t="s">
        <v>404</v>
      </c>
      <c r="E1863" s="18" t="s">
        <v>405</v>
      </c>
      <c r="F1863" s="18" t="s">
        <v>406</v>
      </c>
      <c r="G1863" s="18" t="s">
        <v>407</v>
      </c>
      <c r="H1863" s="5" t="s">
        <v>408</v>
      </c>
      <c r="I1863" s="18" t="s">
        <v>409</v>
      </c>
      <c r="J1863" s="5" t="s">
        <v>410</v>
      </c>
      <c r="K1863" s="5" t="s">
        <v>411</v>
      </c>
      <c r="L1863" s="647" t="s">
        <v>412</v>
      </c>
    </row>
    <row r="1864" spans="2:12" ht="15.75">
      <c r="B1864" s="759" t="s">
        <v>598</v>
      </c>
      <c r="C1864" s="19"/>
      <c r="D1864" s="19"/>
      <c r="E1864" s="19"/>
      <c r="F1864" s="19"/>
      <c r="G1864" s="20"/>
      <c r="H1864" s="68"/>
      <c r="I1864" s="17"/>
      <c r="J1864" s="28"/>
      <c r="K1864" s="17"/>
      <c r="L1864" s="649"/>
    </row>
    <row r="1865" spans="2:12" ht="15">
      <c r="B1865" s="769" t="s">
        <v>826</v>
      </c>
      <c r="C1865" s="20"/>
      <c r="D1865" s="19"/>
      <c r="E1865" s="39">
        <v>4.2</v>
      </c>
      <c r="F1865" s="138">
        <f>54.53+54.11</f>
        <v>108.64</v>
      </c>
      <c r="G1865" s="20"/>
      <c r="H1865" s="68"/>
      <c r="I1865" s="17"/>
      <c r="J1865" s="69"/>
      <c r="K1865" s="17"/>
      <c r="L1865" s="649">
        <f>PRODUCT(C1865:K1865)</f>
        <v>456.28800000000001</v>
      </c>
    </row>
    <row r="1866" spans="2:12" ht="15">
      <c r="B1866" s="769" t="s">
        <v>804</v>
      </c>
      <c r="C1866" s="20">
        <v>20.399999999999999</v>
      </c>
      <c r="D1866" s="19"/>
      <c r="E1866" s="19"/>
      <c r="F1866" s="19"/>
      <c r="G1866" s="20"/>
      <c r="H1866" s="68"/>
      <c r="I1866" s="17">
        <v>4</v>
      </c>
      <c r="J1866" s="69"/>
      <c r="K1866" s="17"/>
      <c r="L1866" s="649">
        <f>PRODUCT(C1866:K1866)</f>
        <v>81.599999999999994</v>
      </c>
    </row>
    <row r="1867" spans="2:12" ht="15">
      <c r="B1867" s="769" t="s">
        <v>596</v>
      </c>
      <c r="C1867" s="20"/>
      <c r="D1867" s="19">
        <v>12.5</v>
      </c>
      <c r="E1867" s="19"/>
      <c r="F1867" s="19">
        <v>45.46</v>
      </c>
      <c r="G1867" s="20"/>
      <c r="H1867" s="68"/>
      <c r="I1867" s="17">
        <v>2</v>
      </c>
      <c r="J1867" s="69"/>
      <c r="K1867" s="17"/>
      <c r="L1867" s="649">
        <f t="shared" ref="L1867:L1870" si="135">PRODUCT(C1867:K1867)</f>
        <v>1136.5</v>
      </c>
    </row>
    <row r="1868" spans="2:12" ht="15">
      <c r="B1868" s="769" t="s">
        <v>827</v>
      </c>
      <c r="C1868" s="20">
        <v>-2</v>
      </c>
      <c r="D1868" s="19"/>
      <c r="E1868" s="19"/>
      <c r="F1868" s="19"/>
      <c r="G1868" s="20"/>
      <c r="H1868" s="68"/>
      <c r="I1868" s="17">
        <v>8</v>
      </c>
      <c r="J1868" s="69"/>
      <c r="K1868" s="17"/>
      <c r="L1868" s="649">
        <f t="shared" si="135"/>
        <v>-16</v>
      </c>
    </row>
    <row r="1869" spans="2:12" ht="15">
      <c r="B1869" s="769" t="s">
        <v>828</v>
      </c>
      <c r="C1869" s="20">
        <v>-0.6</v>
      </c>
      <c r="D1869" s="19"/>
      <c r="E1869" s="19"/>
      <c r="F1869" s="19" t="s">
        <v>829</v>
      </c>
      <c r="G1869" s="20"/>
      <c r="H1869" s="68"/>
      <c r="I1869" s="17">
        <v>20</v>
      </c>
      <c r="J1869" s="69"/>
      <c r="K1869" s="17"/>
      <c r="L1869" s="649">
        <f t="shared" si="135"/>
        <v>-12</v>
      </c>
    </row>
    <row r="1870" spans="2:12" ht="15">
      <c r="B1870" s="769" t="s">
        <v>526</v>
      </c>
      <c r="C1870" s="20">
        <v>-1.56</v>
      </c>
      <c r="D1870" s="19"/>
      <c r="E1870" s="19"/>
      <c r="F1870" s="19"/>
      <c r="G1870" s="20"/>
      <c r="H1870" s="68"/>
      <c r="I1870" s="17">
        <v>3</v>
      </c>
      <c r="J1870" s="69"/>
      <c r="K1870" s="17"/>
      <c r="L1870" s="649">
        <f t="shared" si="135"/>
        <v>-4.68</v>
      </c>
    </row>
    <row r="1871" spans="2:12" ht="15">
      <c r="B1871" s="769"/>
      <c r="C1871" s="20"/>
      <c r="D1871" s="19"/>
      <c r="E1871" s="19"/>
      <c r="F1871" s="19"/>
      <c r="G1871" s="20"/>
      <c r="H1871" s="68"/>
      <c r="I1871" s="17"/>
      <c r="J1871" s="69"/>
      <c r="K1871" s="17"/>
      <c r="L1871" s="649"/>
    </row>
    <row r="1872" spans="2:12" ht="15">
      <c r="B1872" s="655"/>
      <c r="C1872" s="20"/>
      <c r="D1872" s="20"/>
      <c r="E1872" s="20"/>
      <c r="F1872" s="20"/>
      <c r="G1872" s="20"/>
      <c r="H1872" s="19"/>
      <c r="I1872" s="20"/>
      <c r="J1872" s="19"/>
      <c r="K1872" s="17"/>
      <c r="L1872" s="649"/>
    </row>
    <row r="1873" spans="2:12" ht="15.75">
      <c r="B1873" s="759" t="s">
        <v>659</v>
      </c>
      <c r="C1873" s="19"/>
      <c r="D1873" s="19"/>
      <c r="E1873" s="19"/>
      <c r="F1873" s="20"/>
      <c r="G1873" s="20"/>
      <c r="H1873" s="19"/>
      <c r="I1873" s="20"/>
      <c r="J1873" s="19"/>
      <c r="K1873" s="17"/>
      <c r="L1873" s="649"/>
    </row>
    <row r="1874" spans="2:12" ht="15">
      <c r="B1874" s="769" t="s">
        <v>826</v>
      </c>
      <c r="C1874" s="19"/>
      <c r="D1874" s="19"/>
      <c r="E1874" s="19">
        <v>4.2</v>
      </c>
      <c r="F1874" s="20">
        <v>82.4</v>
      </c>
      <c r="G1874" s="20"/>
      <c r="H1874" s="19"/>
      <c r="I1874" s="20"/>
      <c r="J1874" s="19"/>
      <c r="K1874" s="17"/>
      <c r="L1874" s="649">
        <f>PRODUCT(C1874:K1874)</f>
        <v>346.08000000000004</v>
      </c>
    </row>
    <row r="1875" spans="2:12" ht="15">
      <c r="B1875" s="769" t="s">
        <v>804</v>
      </c>
      <c r="C1875" s="20">
        <v>20.399999999999999</v>
      </c>
      <c r="D1875" s="20"/>
      <c r="E1875" s="19"/>
      <c r="F1875" s="20"/>
      <c r="G1875" s="20"/>
      <c r="H1875" s="19"/>
      <c r="I1875" s="20">
        <v>2</v>
      </c>
      <c r="J1875" s="19"/>
      <c r="K1875" s="17"/>
      <c r="L1875" s="649">
        <f t="shared" ref="L1875:L1880" si="136">PRODUCT(C1875:K1875)</f>
        <v>40.799999999999997</v>
      </c>
    </row>
    <row r="1876" spans="2:12" ht="15">
      <c r="B1876" s="769" t="s">
        <v>596</v>
      </c>
      <c r="C1876" s="20"/>
      <c r="D1876" s="20">
        <v>12.5</v>
      </c>
      <c r="E1876" s="19"/>
      <c r="F1876" s="20">
        <v>60</v>
      </c>
      <c r="G1876" s="20"/>
      <c r="H1876" s="19"/>
      <c r="I1876" s="20">
        <v>2</v>
      </c>
      <c r="J1876" s="19"/>
      <c r="K1876" s="17"/>
      <c r="L1876" s="649">
        <f t="shared" si="136"/>
        <v>1500</v>
      </c>
    </row>
    <row r="1877" spans="2:12" ht="15">
      <c r="B1877" s="769" t="s">
        <v>827</v>
      </c>
      <c r="C1877" s="20">
        <v>-2</v>
      </c>
      <c r="D1877" s="19"/>
      <c r="E1877" s="19"/>
      <c r="F1877" s="19"/>
      <c r="G1877" s="20"/>
      <c r="H1877" s="68"/>
      <c r="I1877" s="17">
        <v>6</v>
      </c>
      <c r="J1877" s="19"/>
      <c r="K1877" s="17"/>
      <c r="L1877" s="649">
        <f t="shared" si="136"/>
        <v>-12</v>
      </c>
    </row>
    <row r="1878" spans="2:12" ht="15">
      <c r="B1878" s="769" t="s">
        <v>828</v>
      </c>
      <c r="C1878" s="20">
        <v>-0.6</v>
      </c>
      <c r="D1878" s="19"/>
      <c r="E1878" s="19"/>
      <c r="F1878" s="19"/>
      <c r="G1878" s="20"/>
      <c r="H1878" s="68"/>
      <c r="I1878" s="17">
        <v>30</v>
      </c>
      <c r="J1878" s="19"/>
      <c r="K1878" s="17"/>
      <c r="L1878" s="649">
        <f t="shared" si="136"/>
        <v>-18</v>
      </c>
    </row>
    <row r="1879" spans="2:12" ht="15">
      <c r="B1879" s="769"/>
      <c r="C1879" s="20"/>
      <c r="D1879" s="19"/>
      <c r="E1879" s="19"/>
      <c r="F1879" s="19"/>
      <c r="G1879" s="20"/>
      <c r="H1879" s="68"/>
      <c r="I1879" s="17"/>
      <c r="J1879" s="19"/>
      <c r="K1879" s="17"/>
      <c r="L1879" s="649"/>
    </row>
    <row r="1880" spans="2:12" ht="15.75">
      <c r="B1880" s="759" t="s">
        <v>594</v>
      </c>
      <c r="C1880" s="20"/>
      <c r="D1880" s="19"/>
      <c r="E1880" s="19">
        <v>5.7</v>
      </c>
      <c r="F1880" s="19">
        <v>40</v>
      </c>
      <c r="G1880" s="20"/>
      <c r="H1880" s="68"/>
      <c r="I1880" s="17">
        <v>2</v>
      </c>
      <c r="J1880" s="19"/>
      <c r="K1880" s="17"/>
      <c r="L1880" s="649">
        <f t="shared" si="136"/>
        <v>456</v>
      </c>
    </row>
    <row r="1881" spans="2:12" ht="15">
      <c r="B1881" s="655"/>
      <c r="C1881" s="20"/>
      <c r="D1881" s="20"/>
      <c r="E1881" s="19"/>
      <c r="F1881" s="20"/>
      <c r="G1881" s="20"/>
      <c r="H1881" s="19"/>
      <c r="I1881" s="20"/>
      <c r="J1881" s="19"/>
      <c r="K1881" s="17"/>
      <c r="L1881" s="649"/>
    </row>
    <row r="1882" spans="2:12" ht="15.75">
      <c r="B1882" s="770" t="s">
        <v>545</v>
      </c>
      <c r="C1882" s="20"/>
      <c r="D1882" s="20"/>
      <c r="E1882" s="19"/>
      <c r="F1882" s="20"/>
      <c r="G1882" s="20"/>
      <c r="H1882" s="19"/>
      <c r="I1882" s="20"/>
      <c r="J1882" s="19"/>
      <c r="K1882" s="17">
        <v>2</v>
      </c>
      <c r="L1882" s="649"/>
    </row>
    <row r="1883" spans="2:12" ht="15">
      <c r="B1883" s="769" t="s">
        <v>438</v>
      </c>
      <c r="C1883" s="20"/>
      <c r="D1883" s="20"/>
      <c r="E1883" s="39"/>
      <c r="F1883" s="39"/>
      <c r="G1883" s="20"/>
      <c r="H1883" s="19"/>
      <c r="I1883" s="20"/>
      <c r="J1883" s="19"/>
      <c r="K1883" s="17">
        <v>2</v>
      </c>
      <c r="L1883" s="649"/>
    </row>
    <row r="1884" spans="2:12" ht="15">
      <c r="B1884" s="769" t="s">
        <v>535</v>
      </c>
      <c r="C1884" s="20"/>
      <c r="D1884" s="20"/>
      <c r="E1884" s="19">
        <v>3.5</v>
      </c>
      <c r="F1884" s="20">
        <v>18.3</v>
      </c>
      <c r="G1884" s="20"/>
      <c r="H1884" s="19"/>
      <c r="I1884" s="20"/>
      <c r="J1884" s="19"/>
      <c r="K1884" s="17">
        <v>2</v>
      </c>
      <c r="L1884" s="649">
        <f t="shared" ref="L1884:L1889" si="137">PRODUCT(C1884:K1884)</f>
        <v>128.1</v>
      </c>
    </row>
    <row r="1885" spans="2:12" ht="15">
      <c r="B1885" s="769" t="s">
        <v>526</v>
      </c>
      <c r="C1885" s="20">
        <v>2</v>
      </c>
      <c r="D1885" s="20"/>
      <c r="E1885" s="19"/>
      <c r="F1885" s="20"/>
      <c r="G1885" s="20"/>
      <c r="H1885" s="19"/>
      <c r="I1885" s="20"/>
      <c r="J1885" s="19"/>
      <c r="K1885" s="17">
        <v>2</v>
      </c>
      <c r="L1885" s="649">
        <f t="shared" si="137"/>
        <v>4</v>
      </c>
    </row>
    <row r="1886" spans="2:12" ht="15">
      <c r="B1886" s="769" t="s">
        <v>526</v>
      </c>
      <c r="C1886" s="20"/>
      <c r="D1886" s="20"/>
      <c r="E1886" s="19">
        <v>-1.3</v>
      </c>
      <c r="F1886" s="20">
        <v>2.4</v>
      </c>
      <c r="G1886" s="20"/>
      <c r="H1886" s="19"/>
      <c r="I1886" s="20"/>
      <c r="J1886" s="19">
        <v>2</v>
      </c>
      <c r="K1886" s="17">
        <v>2</v>
      </c>
      <c r="L1886" s="649">
        <f>PRODUCT(C1886:K1886)</f>
        <v>-12.48</v>
      </c>
    </row>
    <row r="1887" spans="2:12" ht="15">
      <c r="B1887" s="769" t="s">
        <v>550</v>
      </c>
      <c r="C1887" s="20">
        <v>276.29000000000002</v>
      </c>
      <c r="D1887" s="20"/>
      <c r="E1887" s="19"/>
      <c r="F1887" s="20"/>
      <c r="G1887" s="20"/>
      <c r="H1887" s="19"/>
      <c r="I1887" s="20"/>
      <c r="J1887" s="19"/>
      <c r="K1887" s="17"/>
      <c r="L1887" s="649">
        <f t="shared" si="137"/>
        <v>276.29000000000002</v>
      </c>
    </row>
    <row r="1888" spans="2:12" ht="15">
      <c r="B1888" s="650"/>
      <c r="C1888" s="20"/>
      <c r="D1888" s="20"/>
      <c r="E1888" s="19"/>
      <c r="F1888" s="20"/>
      <c r="G1888" s="20"/>
      <c r="H1888" s="19"/>
      <c r="I1888" s="20"/>
      <c r="J1888" s="19"/>
      <c r="K1888" s="17"/>
      <c r="L1888" s="649"/>
    </row>
    <row r="1889" spans="2:12" ht="15.75">
      <c r="B1889" s="759" t="s">
        <v>548</v>
      </c>
      <c r="C1889" s="20">
        <v>16</v>
      </c>
      <c r="D1889" s="20"/>
      <c r="E1889" s="19">
        <v>4</v>
      </c>
      <c r="F1889" s="20"/>
      <c r="G1889" s="20"/>
      <c r="H1889" s="19"/>
      <c r="I1889" s="20"/>
      <c r="J1889" s="19">
        <v>6</v>
      </c>
      <c r="K1889" s="17"/>
      <c r="L1889" s="649">
        <f t="shared" si="137"/>
        <v>384</v>
      </c>
    </row>
    <row r="1890" spans="2:12" ht="15">
      <c r="B1890" s="648"/>
      <c r="C1890" s="20"/>
      <c r="D1890" s="20"/>
      <c r="E1890" s="19"/>
      <c r="F1890" s="20"/>
      <c r="G1890" s="20"/>
      <c r="H1890" s="19"/>
      <c r="I1890" s="20"/>
      <c r="J1890" s="19"/>
      <c r="K1890" s="17"/>
      <c r="L1890" s="649"/>
    </row>
    <row r="1891" spans="2:12" ht="15">
      <c r="B1891" s="648" t="s">
        <v>528</v>
      </c>
      <c r="C1891" s="20"/>
      <c r="D1891" s="20"/>
      <c r="E1891" s="19">
        <v>3</v>
      </c>
      <c r="F1891" s="20">
        <v>14</v>
      </c>
      <c r="G1891" s="20"/>
      <c r="H1891" s="19"/>
      <c r="I1891" s="20"/>
      <c r="J1891" s="19">
        <v>2</v>
      </c>
      <c r="K1891" s="17"/>
      <c r="L1891" s="649">
        <f>PRODUCT(C1891:K1891)</f>
        <v>84</v>
      </c>
    </row>
    <row r="1892" spans="2:12" ht="15">
      <c r="B1892" s="648" t="s">
        <v>529</v>
      </c>
      <c r="C1892" s="20"/>
      <c r="D1892" s="20"/>
      <c r="E1892" s="19">
        <v>3</v>
      </c>
      <c r="F1892" s="20">
        <v>14</v>
      </c>
      <c r="G1892" s="20"/>
      <c r="H1892" s="19"/>
      <c r="I1892" s="20"/>
      <c r="J1892" s="19"/>
      <c r="K1892" s="17"/>
      <c r="L1892" s="649">
        <f t="shared" ref="L1892:L1900" si="138">PRODUCT(C1892:K1892)</f>
        <v>42</v>
      </c>
    </row>
    <row r="1893" spans="2:12" ht="15">
      <c r="B1893" s="648" t="s">
        <v>530</v>
      </c>
      <c r="C1893" s="20"/>
      <c r="D1893" s="20"/>
      <c r="E1893" s="19">
        <v>3</v>
      </c>
      <c r="F1893" s="20">
        <v>14</v>
      </c>
      <c r="G1893" s="20"/>
      <c r="H1893" s="19"/>
      <c r="I1893" s="20"/>
      <c r="J1893" s="19"/>
      <c r="K1893" s="17"/>
      <c r="L1893" s="649">
        <f t="shared" si="138"/>
        <v>42</v>
      </c>
    </row>
    <row r="1894" spans="2:12" ht="15">
      <c r="B1894" s="648" t="s">
        <v>526</v>
      </c>
      <c r="C1894" s="20">
        <v>-6</v>
      </c>
      <c r="D1894" s="20"/>
      <c r="E1894" s="19"/>
      <c r="F1894" s="20"/>
      <c r="G1894" s="20"/>
      <c r="H1894" s="19"/>
      <c r="I1894" s="20"/>
      <c r="J1894" s="19">
        <v>4</v>
      </c>
      <c r="K1894" s="17"/>
      <c r="L1894" s="649">
        <f t="shared" si="138"/>
        <v>-24</v>
      </c>
    </row>
    <row r="1895" spans="2:12" ht="15">
      <c r="B1895" s="648"/>
      <c r="C1895" s="20"/>
      <c r="D1895" s="20"/>
      <c r="E1895" s="19"/>
      <c r="F1895" s="20"/>
      <c r="G1895" s="20"/>
      <c r="H1895" s="19"/>
      <c r="I1895" s="20"/>
      <c r="J1895" s="19"/>
      <c r="K1895" s="17"/>
      <c r="L1895" s="649"/>
    </row>
    <row r="1896" spans="2:12" ht="31.5">
      <c r="B1896" s="759" t="s">
        <v>551</v>
      </c>
      <c r="C1896" s="20"/>
      <c r="D1896" s="20"/>
      <c r="E1896" s="19">
        <v>0.5</v>
      </c>
      <c r="F1896" s="169">
        <v>392</v>
      </c>
      <c r="G1896" s="20"/>
      <c r="H1896" s="19"/>
      <c r="I1896" s="20"/>
      <c r="J1896" s="19">
        <v>2</v>
      </c>
      <c r="K1896" s="17"/>
      <c r="L1896" s="649">
        <f>PRODUCT(C1896:K1896)</f>
        <v>392</v>
      </c>
    </row>
    <row r="1897" spans="2:12" ht="15">
      <c r="B1897" s="648"/>
      <c r="C1897" s="20"/>
      <c r="D1897" s="20"/>
      <c r="E1897" s="19"/>
      <c r="F1897" s="20"/>
      <c r="G1897" s="20"/>
      <c r="H1897" s="19"/>
      <c r="I1897" s="20"/>
      <c r="J1897" s="19"/>
      <c r="K1897" s="17"/>
      <c r="L1897" s="649"/>
    </row>
    <row r="1898" spans="2:12" ht="15">
      <c r="B1898" s="648" t="s">
        <v>552</v>
      </c>
      <c r="C1898" s="20"/>
      <c r="D1898" s="20"/>
      <c r="E1898" s="19">
        <v>1.5</v>
      </c>
      <c r="F1898" s="20">
        <v>360.8</v>
      </c>
      <c r="G1898" s="20"/>
      <c r="H1898" s="19"/>
      <c r="I1898" s="20"/>
      <c r="J1898" s="19">
        <v>2</v>
      </c>
      <c r="K1898" s="17"/>
      <c r="L1898" s="649">
        <f>PRODUCT(C1898:K1898)</f>
        <v>1082.4000000000001</v>
      </c>
    </row>
    <row r="1899" spans="2:12" ht="15">
      <c r="B1899" s="648" t="s">
        <v>553</v>
      </c>
      <c r="C1899" s="20"/>
      <c r="D1899" s="20"/>
      <c r="E1899" s="19">
        <v>1.5</v>
      </c>
      <c r="F1899" s="20">
        <v>247</v>
      </c>
      <c r="G1899" s="20"/>
      <c r="H1899" s="19"/>
      <c r="I1899" s="20"/>
      <c r="J1899" s="19">
        <v>2</v>
      </c>
      <c r="K1899" s="17"/>
      <c r="L1899" s="649">
        <f>PRODUCT(C1899:K1899)</f>
        <v>741</v>
      </c>
    </row>
    <row r="1900" spans="2:12" ht="15">
      <c r="B1900" s="648" t="s">
        <v>782</v>
      </c>
      <c r="C1900" s="20"/>
      <c r="D1900" s="20"/>
      <c r="E1900" s="19">
        <v>1.5</v>
      </c>
      <c r="F1900" s="20">
        <v>109</v>
      </c>
      <c r="G1900" s="20"/>
      <c r="H1900" s="19"/>
      <c r="I1900" s="20"/>
      <c r="J1900" s="19">
        <v>2</v>
      </c>
      <c r="K1900" s="17"/>
      <c r="L1900" s="649">
        <f t="shared" si="138"/>
        <v>327</v>
      </c>
    </row>
    <row r="1901" spans="2:12" ht="15">
      <c r="B1901" s="648" t="s">
        <v>554</v>
      </c>
      <c r="C1901" s="20">
        <v>20</v>
      </c>
      <c r="D1901" s="20"/>
      <c r="E1901" s="19"/>
      <c r="F1901" s="20"/>
      <c r="G1901" s="20"/>
      <c r="H1901" s="19"/>
      <c r="I1901" s="20"/>
      <c r="J1901" s="19"/>
      <c r="K1901" s="17"/>
      <c r="L1901" s="649">
        <f>PRODUCT(C1901:K1901)</f>
        <v>20</v>
      </c>
    </row>
    <row r="1902" spans="2:12" ht="15">
      <c r="B1902" s="648"/>
      <c r="C1902" s="20"/>
      <c r="D1902" s="20"/>
      <c r="E1902" s="19"/>
      <c r="F1902" s="20"/>
      <c r="G1902" s="20"/>
      <c r="H1902" s="19"/>
      <c r="I1902" s="20"/>
      <c r="J1902" s="19"/>
      <c r="K1902" s="17"/>
      <c r="L1902" s="649"/>
    </row>
    <row r="1903" spans="2:12" ht="15">
      <c r="B1903" s="648"/>
      <c r="C1903" s="20"/>
      <c r="D1903" s="20"/>
      <c r="E1903" s="19"/>
      <c r="F1903" s="20"/>
      <c r="G1903" s="20"/>
      <c r="H1903" s="19"/>
      <c r="I1903" s="20"/>
      <c r="J1903" s="19"/>
      <c r="K1903" s="17"/>
      <c r="L1903" s="649"/>
    </row>
    <row r="1904" spans="2:12" ht="15">
      <c r="B1904" s="648" t="s">
        <v>969</v>
      </c>
      <c r="C1904" s="269"/>
      <c r="D1904" s="269"/>
      <c r="E1904" s="269">
        <v>1.3</v>
      </c>
      <c r="F1904" s="269">
        <v>70</v>
      </c>
      <c r="G1904" s="270"/>
      <c r="H1904" s="346"/>
      <c r="I1904" s="17"/>
      <c r="J1904" s="22"/>
      <c r="K1904" s="17"/>
      <c r="L1904" s="656">
        <f>PRODUCT(C1904:K1904)</f>
        <v>91</v>
      </c>
    </row>
    <row r="1905" spans="2:12" ht="15">
      <c r="B1905" s="650"/>
      <c r="C1905" s="20"/>
      <c r="D1905" s="20"/>
      <c r="E1905" s="20"/>
      <c r="F1905" s="20"/>
      <c r="G1905" s="20"/>
      <c r="H1905" s="19"/>
      <c r="I1905" s="20"/>
      <c r="J1905" s="19"/>
      <c r="K1905" s="17"/>
      <c r="L1905" s="649"/>
    </row>
    <row r="1906" spans="2:12" ht="15">
      <c r="B1906" s="650"/>
      <c r="C1906" s="20"/>
      <c r="D1906" s="20"/>
      <c r="E1906" s="20"/>
      <c r="F1906" s="20"/>
      <c r="G1906" s="20"/>
      <c r="H1906" s="19"/>
      <c r="I1906" s="20"/>
      <c r="J1906" s="19"/>
      <c r="K1906" s="17"/>
      <c r="L1906" s="649"/>
    </row>
    <row r="1907" spans="2:12" ht="15.75">
      <c r="B1907" s="1002"/>
      <c r="C1907" s="1003"/>
      <c r="D1907" s="1003"/>
      <c r="E1907" s="1003"/>
      <c r="F1907" s="1003"/>
      <c r="G1907" s="1003"/>
      <c r="H1907" s="1003"/>
      <c r="I1907" s="1003"/>
      <c r="J1907" s="1003"/>
      <c r="K1907" s="1003"/>
      <c r="L1907" s="1004"/>
    </row>
    <row r="1908" spans="2:12" ht="15.75">
      <c r="B1908" s="756"/>
      <c r="C1908" s="757"/>
      <c r="D1908" s="757"/>
      <c r="E1908" s="757"/>
      <c r="F1908" s="757"/>
      <c r="G1908" s="757"/>
      <c r="H1908" s="757"/>
      <c r="I1908" s="757"/>
      <c r="J1908" s="757"/>
      <c r="K1908" s="757"/>
      <c r="L1908" s="758"/>
    </row>
    <row r="1909" spans="2:12" ht="15.6" customHeight="1">
      <c r="B1909" s="638" t="s">
        <v>398</v>
      </c>
      <c r="C1909" s="8">
        <v>9</v>
      </c>
      <c r="D1909" s="9" t="s">
        <v>1032</v>
      </c>
      <c r="E1909" s="9"/>
      <c r="F1909" s="9"/>
      <c r="G1909" s="9"/>
      <c r="H1909" s="9"/>
      <c r="I1909" s="9"/>
      <c r="J1909" s="9"/>
      <c r="K1909" s="10"/>
      <c r="L1909" s="639"/>
    </row>
    <row r="1910" spans="2:12" ht="15">
      <c r="B1910" s="640"/>
      <c r="C1910" s="579"/>
      <c r="D1910" s="579"/>
      <c r="E1910" s="579"/>
      <c r="F1910" s="579"/>
      <c r="G1910" s="579"/>
      <c r="H1910" s="579"/>
      <c r="I1910" s="579"/>
      <c r="J1910" s="579"/>
      <c r="K1910" s="579"/>
      <c r="L1910" s="641"/>
    </row>
    <row r="1911" spans="2:12" ht="31.15" customHeight="1">
      <c r="B1911" s="642" t="s">
        <v>399</v>
      </c>
      <c r="C1911" s="25">
        <f>+'PROPUESTA ECONOMICA(Proponente)'!C177</f>
        <v>9.9</v>
      </c>
      <c r="D1911" s="12" t="str">
        <f>+VLOOKUP('MEMORIAS DE CANTIDADES'!C1911,'PROPUESTA ECONOMICA(Proponente)'!$C$21:$H$310,5,FALSE)</f>
        <v xml:space="preserve">Suministro e instalación de Cielo Raso en superboard 6 mm incluye pintura en vinilo tipo I y estructura. </v>
      </c>
      <c r="E1911" s="13"/>
      <c r="F1911" s="12"/>
      <c r="G1911" s="12"/>
      <c r="H1911" s="12"/>
      <c r="I1911" s="11" t="s">
        <v>400</v>
      </c>
      <c r="J1911" s="12" t="str">
        <f>+VLOOKUP('MEMORIAS DE CANTIDADES'!C1911,'PROPUESTA ECONOMICA(Proponente)'!$C$21:$H$310,6,FALSE)</f>
        <v>m2</v>
      </c>
      <c r="K1911" s="11" t="s">
        <v>401</v>
      </c>
      <c r="L1911" s="643">
        <f>SUM(L1912:L1953)</f>
        <v>1052.9259999999999</v>
      </c>
    </row>
    <row r="1912" spans="2:12" ht="15">
      <c r="B1912" s="644"/>
      <c r="C1912" s="16"/>
      <c r="D1912" s="15"/>
      <c r="E1912" s="15"/>
      <c r="F1912" s="15"/>
      <c r="G1912" s="15"/>
      <c r="H1912" s="15"/>
      <c r="I1912" s="15"/>
      <c r="J1912" s="15"/>
      <c r="K1912" s="17"/>
      <c r="L1912" s="645"/>
    </row>
    <row r="1913" spans="2:12" ht="47.25">
      <c r="B1913" s="646" t="s">
        <v>402</v>
      </c>
      <c r="C1913" s="18" t="s">
        <v>403</v>
      </c>
      <c r="D1913" s="18" t="s">
        <v>404</v>
      </c>
      <c r="E1913" s="18" t="s">
        <v>405</v>
      </c>
      <c r="F1913" s="18" t="s">
        <v>406</v>
      </c>
      <c r="G1913" s="18" t="s">
        <v>407</v>
      </c>
      <c r="H1913" s="5" t="s">
        <v>408</v>
      </c>
      <c r="I1913" s="18" t="s">
        <v>409</v>
      </c>
      <c r="J1913" s="5" t="s">
        <v>410</v>
      </c>
      <c r="K1913" s="5" t="s">
        <v>411</v>
      </c>
      <c r="L1913" s="647" t="s">
        <v>412</v>
      </c>
    </row>
    <row r="1914" spans="2:12" ht="15.75">
      <c r="B1914" s="759" t="s">
        <v>479</v>
      </c>
      <c r="C1914" s="19"/>
      <c r="D1914" s="19"/>
      <c r="E1914" s="19"/>
      <c r="F1914" s="19"/>
      <c r="G1914" s="20"/>
      <c r="H1914" s="68"/>
      <c r="I1914" s="17"/>
      <c r="J1914" s="28"/>
      <c r="K1914" s="17"/>
      <c r="L1914" s="649"/>
    </row>
    <row r="1915" spans="2:12" ht="15.75">
      <c r="B1915" s="759" t="s">
        <v>598</v>
      </c>
      <c r="C1915" s="19"/>
      <c r="D1915" s="19"/>
      <c r="E1915" s="19"/>
      <c r="F1915" s="19"/>
      <c r="G1915" s="20"/>
      <c r="H1915" s="68"/>
      <c r="I1915" s="17"/>
      <c r="J1915" s="28"/>
      <c r="K1915" s="17"/>
      <c r="L1915" s="649"/>
    </row>
    <row r="1916" spans="2:12" ht="15">
      <c r="B1916" s="769" t="s">
        <v>815</v>
      </c>
      <c r="C1916" s="20">
        <v>27.155999999999999</v>
      </c>
      <c r="D1916" s="19"/>
      <c r="E1916" s="19"/>
      <c r="F1916" s="19"/>
      <c r="G1916" s="20"/>
      <c r="H1916" s="68"/>
      <c r="I1916" s="17"/>
      <c r="J1916" s="69"/>
      <c r="K1916" s="17"/>
      <c r="L1916" s="649">
        <f t="shared" ref="L1916:L1923" si="139">PRODUCT(C1916:K1916)</f>
        <v>27.155999999999999</v>
      </c>
    </row>
    <row r="1917" spans="2:12" ht="15">
      <c r="B1917" s="769" t="s">
        <v>816</v>
      </c>
      <c r="C1917" s="20">
        <v>75</v>
      </c>
      <c r="D1917" s="20"/>
      <c r="E1917" s="19"/>
      <c r="F1917" s="20"/>
      <c r="G1917" s="20"/>
      <c r="H1917" s="20"/>
      <c r="I1917" s="20"/>
      <c r="J1917" s="69"/>
      <c r="K1917" s="17"/>
      <c r="L1917" s="649">
        <f t="shared" si="139"/>
        <v>75</v>
      </c>
    </row>
    <row r="1918" spans="2:12" ht="15">
      <c r="B1918" s="769" t="s">
        <v>817</v>
      </c>
      <c r="C1918" s="20">
        <v>39</v>
      </c>
      <c r="D1918" s="20"/>
      <c r="E1918" s="19"/>
      <c r="F1918" s="20"/>
      <c r="G1918" s="20"/>
      <c r="H1918" s="19"/>
      <c r="I1918" s="20"/>
      <c r="J1918" s="19"/>
      <c r="K1918" s="17"/>
      <c r="L1918" s="649">
        <f t="shared" si="139"/>
        <v>39</v>
      </c>
    </row>
    <row r="1919" spans="2:12" ht="15">
      <c r="B1919" s="769" t="s">
        <v>818</v>
      </c>
      <c r="C1919" s="20">
        <v>33.700000000000003</v>
      </c>
      <c r="D1919" s="20"/>
      <c r="E1919" s="19"/>
      <c r="F1919" s="20"/>
      <c r="G1919" s="20"/>
      <c r="H1919" s="19"/>
      <c r="I1919" s="20"/>
      <c r="J1919" s="19"/>
      <c r="K1919" s="17"/>
      <c r="L1919" s="649">
        <f t="shared" si="139"/>
        <v>33.700000000000003</v>
      </c>
    </row>
    <row r="1920" spans="2:12" ht="15">
      <c r="B1920" s="769" t="s">
        <v>819</v>
      </c>
      <c r="C1920" s="20">
        <v>39</v>
      </c>
      <c r="D1920" s="20"/>
      <c r="E1920" s="19"/>
      <c r="F1920" s="20"/>
      <c r="G1920" s="20"/>
      <c r="H1920" s="19"/>
      <c r="I1920" s="20"/>
      <c r="J1920" s="19"/>
      <c r="K1920" s="17"/>
      <c r="L1920" s="649">
        <f t="shared" si="139"/>
        <v>39</v>
      </c>
    </row>
    <row r="1921" spans="2:12" ht="15">
      <c r="B1921" s="769" t="s">
        <v>820</v>
      </c>
      <c r="C1921" s="20">
        <v>75</v>
      </c>
      <c r="D1921" s="20"/>
      <c r="E1921" s="19"/>
      <c r="F1921" s="20"/>
      <c r="G1921" s="20"/>
      <c r="H1921" s="19"/>
      <c r="I1921" s="20"/>
      <c r="J1921" s="19"/>
      <c r="K1921" s="17"/>
      <c r="L1921" s="649">
        <f t="shared" si="139"/>
        <v>75</v>
      </c>
    </row>
    <row r="1922" spans="2:12" ht="15">
      <c r="B1922" s="769" t="s">
        <v>821</v>
      </c>
      <c r="C1922" s="20">
        <v>26.7</v>
      </c>
      <c r="D1922" s="20"/>
      <c r="E1922" s="19"/>
      <c r="F1922" s="20"/>
      <c r="G1922" s="20"/>
      <c r="H1922" s="19"/>
      <c r="I1922" s="20"/>
      <c r="J1922" s="19"/>
      <c r="K1922" s="17"/>
      <c r="L1922" s="649">
        <f t="shared" si="139"/>
        <v>26.7</v>
      </c>
    </row>
    <row r="1923" spans="2:12" ht="15">
      <c r="B1923" s="769" t="s">
        <v>824</v>
      </c>
      <c r="C1923" s="20">
        <v>35.65</v>
      </c>
      <c r="D1923" s="20"/>
      <c r="E1923" s="19"/>
      <c r="F1923" s="20"/>
      <c r="G1923" s="20"/>
      <c r="H1923" s="19"/>
      <c r="I1923" s="20"/>
      <c r="J1923" s="19"/>
      <c r="K1923" s="17"/>
      <c r="L1923" s="649">
        <f t="shared" si="139"/>
        <v>35.65</v>
      </c>
    </row>
    <row r="1924" spans="2:12" ht="15">
      <c r="B1924" s="655"/>
      <c r="C1924" s="20"/>
      <c r="D1924" s="20"/>
      <c r="E1924" s="20"/>
      <c r="F1924" s="20"/>
      <c r="G1924" s="20"/>
      <c r="H1924" s="19"/>
      <c r="I1924" s="20"/>
      <c r="J1924" s="19"/>
      <c r="K1924" s="17"/>
      <c r="L1924" s="649"/>
    </row>
    <row r="1925" spans="2:12" ht="15.75">
      <c r="B1925" s="759" t="s">
        <v>659</v>
      </c>
      <c r="C1925" s="19"/>
      <c r="D1925" s="19"/>
      <c r="E1925" s="19"/>
      <c r="F1925" s="20"/>
      <c r="G1925" s="20"/>
      <c r="H1925" s="19"/>
      <c r="I1925" s="20"/>
      <c r="J1925" s="19"/>
      <c r="K1925" s="17"/>
      <c r="L1925" s="649"/>
    </row>
    <row r="1926" spans="2:12" ht="15">
      <c r="B1926" s="769" t="s">
        <v>817</v>
      </c>
      <c r="C1926" s="20">
        <v>35.53</v>
      </c>
      <c r="D1926" s="20"/>
      <c r="E1926" s="19"/>
      <c r="F1926" s="20"/>
      <c r="G1926" s="20"/>
      <c r="H1926" s="19"/>
      <c r="I1926" s="20">
        <v>2</v>
      </c>
      <c r="J1926" s="19"/>
      <c r="K1926" s="17"/>
      <c r="L1926" s="649">
        <f t="shared" ref="L1926:L1928" si="140">PRODUCT(C1926:K1926)</f>
        <v>71.06</v>
      </c>
    </row>
    <row r="1927" spans="2:12" ht="15">
      <c r="B1927" s="769" t="s">
        <v>819</v>
      </c>
      <c r="C1927" s="20">
        <v>35.53</v>
      </c>
      <c r="D1927" s="20"/>
      <c r="E1927" s="19"/>
      <c r="F1927" s="20"/>
      <c r="G1927" s="20"/>
      <c r="H1927" s="19"/>
      <c r="I1927" s="20">
        <v>2</v>
      </c>
      <c r="J1927" s="19"/>
      <c r="K1927" s="17"/>
      <c r="L1927" s="649">
        <f t="shared" si="140"/>
        <v>71.06</v>
      </c>
    </row>
    <row r="1928" spans="2:12" ht="15">
      <c r="B1928" s="769" t="s">
        <v>824</v>
      </c>
      <c r="C1928" s="20">
        <v>31.8</v>
      </c>
      <c r="D1928" s="20"/>
      <c r="E1928" s="19"/>
      <c r="F1928" s="20"/>
      <c r="G1928" s="20"/>
      <c r="H1928" s="19"/>
      <c r="I1928" s="20">
        <v>2</v>
      </c>
      <c r="J1928" s="19"/>
      <c r="K1928" s="17"/>
      <c r="L1928" s="649">
        <f t="shared" si="140"/>
        <v>63.6</v>
      </c>
    </row>
    <row r="1929" spans="2:12" ht="15">
      <c r="B1929" s="769"/>
      <c r="C1929" s="20"/>
      <c r="D1929" s="20"/>
      <c r="E1929" s="19"/>
      <c r="F1929" s="20"/>
      <c r="G1929" s="20"/>
      <c r="H1929" s="19"/>
      <c r="I1929" s="20"/>
      <c r="J1929" s="19"/>
      <c r="K1929" s="17"/>
      <c r="L1929" s="649"/>
    </row>
    <row r="1930" spans="2:12" ht="15.75">
      <c r="B1930" s="770" t="s">
        <v>594</v>
      </c>
      <c r="C1930" s="20"/>
      <c r="D1930" s="20"/>
      <c r="E1930" s="19"/>
      <c r="F1930" s="20"/>
      <c r="G1930" s="20"/>
      <c r="H1930" s="19"/>
      <c r="I1930" s="20"/>
      <c r="J1930" s="19"/>
      <c r="K1930" s="17"/>
      <c r="L1930" s="649"/>
    </row>
    <row r="1931" spans="2:12" ht="15">
      <c r="B1931" s="769" t="s">
        <v>816</v>
      </c>
      <c r="C1931" s="20">
        <v>45</v>
      </c>
      <c r="D1931" s="20"/>
      <c r="E1931" s="19"/>
      <c r="F1931" s="20"/>
      <c r="G1931" s="20"/>
      <c r="H1931" s="19"/>
      <c r="I1931" s="20">
        <v>1</v>
      </c>
      <c r="J1931" s="19"/>
      <c r="K1931" s="17"/>
      <c r="L1931" s="649">
        <f t="shared" ref="L1931:L1933" si="141">PRODUCT(C1931:K1931)</f>
        <v>45</v>
      </c>
    </row>
    <row r="1932" spans="2:12" ht="15">
      <c r="B1932" s="769" t="s">
        <v>820</v>
      </c>
      <c r="C1932" s="20">
        <v>45</v>
      </c>
      <c r="D1932" s="20"/>
      <c r="E1932" s="19"/>
      <c r="F1932" s="20"/>
      <c r="G1932" s="20"/>
      <c r="H1932" s="19"/>
      <c r="I1932" s="20">
        <v>1</v>
      </c>
      <c r="J1932" s="19"/>
      <c r="K1932" s="17"/>
      <c r="L1932" s="649">
        <f t="shared" si="141"/>
        <v>45</v>
      </c>
    </row>
    <row r="1933" spans="2:12" ht="15">
      <c r="B1933" s="769" t="s">
        <v>825</v>
      </c>
      <c r="C1933" s="20">
        <v>29.15</v>
      </c>
      <c r="D1933" s="20"/>
      <c r="E1933" s="19"/>
      <c r="F1933" s="20"/>
      <c r="G1933" s="20"/>
      <c r="H1933" s="19"/>
      <c r="I1933" s="20">
        <v>2</v>
      </c>
      <c r="J1933" s="19"/>
      <c r="K1933" s="17"/>
      <c r="L1933" s="649">
        <f t="shared" si="141"/>
        <v>58.3</v>
      </c>
    </row>
    <row r="1934" spans="2:12" ht="15">
      <c r="B1934" s="655"/>
      <c r="C1934" s="20"/>
      <c r="D1934" s="20"/>
      <c r="E1934" s="19"/>
      <c r="F1934" s="20"/>
      <c r="G1934" s="20"/>
      <c r="H1934" s="19"/>
      <c r="I1934" s="20"/>
      <c r="J1934" s="19"/>
      <c r="K1934" s="17"/>
      <c r="L1934" s="649"/>
    </row>
    <row r="1935" spans="2:12" ht="15.75">
      <c r="B1935" s="770" t="s">
        <v>782</v>
      </c>
      <c r="C1935" s="20"/>
      <c r="D1935" s="20"/>
      <c r="E1935" s="19"/>
      <c r="F1935" s="20"/>
      <c r="G1935" s="20"/>
      <c r="H1935" s="19"/>
      <c r="I1935" s="20"/>
      <c r="J1935" s="19"/>
      <c r="K1935" s="17"/>
      <c r="L1935" s="649"/>
    </row>
    <row r="1936" spans="2:12" ht="15">
      <c r="B1936" s="769" t="s">
        <v>822</v>
      </c>
      <c r="C1936" s="20">
        <v>38.22</v>
      </c>
      <c r="D1936" s="20"/>
      <c r="E1936" s="19"/>
      <c r="F1936" s="20"/>
      <c r="G1936" s="20"/>
      <c r="H1936" s="19"/>
      <c r="I1936" s="20"/>
      <c r="J1936" s="19"/>
      <c r="K1936" s="17"/>
      <c r="L1936" s="649"/>
    </row>
    <row r="1937" spans="2:12" ht="15">
      <c r="B1937" s="769" t="s">
        <v>541</v>
      </c>
      <c r="C1937" s="20">
        <v>18.16</v>
      </c>
      <c r="D1937" s="20"/>
      <c r="E1937" s="19"/>
      <c r="F1937" s="20"/>
      <c r="G1937" s="20"/>
      <c r="H1937" s="19"/>
      <c r="I1937" s="20"/>
      <c r="J1937" s="19"/>
      <c r="K1937" s="17"/>
      <c r="L1937" s="649"/>
    </row>
    <row r="1938" spans="2:12" ht="15">
      <c r="B1938" s="769" t="s">
        <v>590</v>
      </c>
      <c r="C1938" s="20">
        <v>18.16</v>
      </c>
      <c r="D1938" s="20"/>
      <c r="E1938" s="19"/>
      <c r="F1938" s="20"/>
      <c r="G1938" s="20"/>
      <c r="H1938" s="19"/>
      <c r="I1938" s="20"/>
      <c r="J1938" s="19"/>
      <c r="K1938" s="17"/>
      <c r="L1938" s="649"/>
    </row>
    <row r="1939" spans="2:12" ht="15">
      <c r="B1939" s="769" t="s">
        <v>823</v>
      </c>
      <c r="C1939" s="20">
        <v>33.450000000000003</v>
      </c>
      <c r="D1939" s="20"/>
      <c r="E1939" s="19"/>
      <c r="F1939" s="20"/>
      <c r="G1939" s="20"/>
      <c r="H1939" s="19"/>
      <c r="I1939" s="20"/>
      <c r="J1939" s="19"/>
      <c r="K1939" s="17"/>
      <c r="L1939" s="649"/>
    </row>
    <row r="1940" spans="2:12" ht="15">
      <c r="B1940" s="655"/>
      <c r="C1940" s="20"/>
      <c r="D1940" s="20"/>
      <c r="E1940" s="19"/>
      <c r="F1940" s="20"/>
      <c r="G1940" s="20"/>
      <c r="H1940" s="19"/>
      <c r="I1940" s="20"/>
      <c r="J1940" s="19"/>
      <c r="K1940" s="17"/>
      <c r="L1940" s="649"/>
    </row>
    <row r="1941" spans="2:12" ht="15.75">
      <c r="B1941" s="770" t="s">
        <v>545</v>
      </c>
      <c r="C1941" s="20"/>
      <c r="D1941" s="20"/>
      <c r="E1941" s="19"/>
      <c r="F1941" s="20"/>
      <c r="G1941" s="20"/>
      <c r="H1941" s="19"/>
      <c r="I1941" s="20"/>
      <c r="J1941" s="19"/>
      <c r="K1941" s="17"/>
      <c r="L1941" s="649"/>
    </row>
    <row r="1942" spans="2:12" ht="15">
      <c r="B1942" s="769" t="s">
        <v>438</v>
      </c>
      <c r="C1942" s="20">
        <v>127.8</v>
      </c>
      <c r="D1942" s="20"/>
      <c r="E1942" s="39"/>
      <c r="F1942" s="39"/>
      <c r="G1942" s="20"/>
      <c r="H1942" s="19"/>
      <c r="I1942" s="20"/>
      <c r="J1942" s="19"/>
      <c r="K1942" s="17">
        <v>2</v>
      </c>
      <c r="L1942" s="649">
        <f t="shared" ref="L1942:L1944" si="142">PRODUCT(C1942:K1942)</f>
        <v>255.6</v>
      </c>
    </row>
    <row r="1943" spans="2:12" ht="15">
      <c r="B1943" s="769" t="s">
        <v>549</v>
      </c>
      <c r="C1943" s="20">
        <v>4.5</v>
      </c>
      <c r="D1943" s="20"/>
      <c r="E1943" s="19"/>
      <c r="F1943" s="20"/>
      <c r="G1943" s="20"/>
      <c r="H1943" s="19"/>
      <c r="I1943" s="20"/>
      <c r="J1943" s="19"/>
      <c r="K1943" s="17">
        <v>2</v>
      </c>
      <c r="L1943" s="649">
        <f t="shared" si="142"/>
        <v>9</v>
      </c>
    </row>
    <row r="1944" spans="2:12" ht="15">
      <c r="B1944" s="769" t="s">
        <v>535</v>
      </c>
      <c r="C1944" s="20">
        <v>12.5</v>
      </c>
      <c r="D1944" s="20"/>
      <c r="E1944" s="19"/>
      <c r="F1944" s="20"/>
      <c r="G1944" s="20"/>
      <c r="H1944" s="19"/>
      <c r="I1944" s="20"/>
      <c r="J1944" s="19"/>
      <c r="K1944" s="17">
        <v>2</v>
      </c>
      <c r="L1944" s="649">
        <f t="shared" si="142"/>
        <v>25</v>
      </c>
    </row>
    <row r="1945" spans="2:12" ht="15">
      <c r="B1945" s="769"/>
      <c r="C1945" s="20"/>
      <c r="D1945" s="20"/>
      <c r="E1945" s="19"/>
      <c r="F1945" s="20"/>
      <c r="G1945" s="20"/>
      <c r="H1945" s="19"/>
      <c r="I1945" s="20"/>
      <c r="J1945" s="19"/>
      <c r="K1945" s="17"/>
      <c r="L1945" s="649"/>
    </row>
    <row r="1946" spans="2:12" ht="15">
      <c r="B1946" s="648"/>
      <c r="C1946" s="20"/>
      <c r="D1946" s="20"/>
      <c r="E1946" s="19"/>
      <c r="F1946" s="20"/>
      <c r="G1946" s="20"/>
      <c r="H1946" s="19"/>
      <c r="I1946" s="20"/>
      <c r="J1946" s="19"/>
      <c r="K1946" s="17"/>
      <c r="L1946" s="649"/>
    </row>
    <row r="1947" spans="2:12" ht="15">
      <c r="B1947" s="648" t="s">
        <v>528</v>
      </c>
      <c r="C1947" s="20">
        <v>3.5</v>
      </c>
      <c r="D1947" s="20">
        <v>4.1500000000000004</v>
      </c>
      <c r="E1947" s="19"/>
      <c r="F1947" s="20"/>
      <c r="G1947" s="20"/>
      <c r="H1947" s="19"/>
      <c r="I1947" s="20"/>
      <c r="J1947" s="19">
        <v>2</v>
      </c>
      <c r="K1947" s="17"/>
      <c r="L1947" s="649">
        <f>PRODUCT(C1947:K1947)</f>
        <v>29.050000000000004</v>
      </c>
    </row>
    <row r="1948" spans="2:12" ht="15">
      <c r="B1948" s="648" t="s">
        <v>529</v>
      </c>
      <c r="C1948" s="20">
        <v>3.5</v>
      </c>
      <c r="D1948" s="20">
        <v>4.1500000000000004</v>
      </c>
      <c r="E1948" s="19"/>
      <c r="F1948" s="20"/>
      <c r="G1948" s="20"/>
      <c r="H1948" s="19"/>
      <c r="I1948" s="20"/>
      <c r="J1948" s="19"/>
      <c r="K1948" s="17"/>
      <c r="L1948" s="649">
        <f t="shared" ref="L1948:L1949" si="143">PRODUCT(C1948:K1948)</f>
        <v>14.525000000000002</v>
      </c>
    </row>
    <row r="1949" spans="2:12" ht="15">
      <c r="B1949" s="648" t="s">
        <v>530</v>
      </c>
      <c r="C1949" s="20">
        <v>3.5</v>
      </c>
      <c r="D1949" s="20">
        <v>4.1500000000000004</v>
      </c>
      <c r="E1949" s="19"/>
      <c r="F1949" s="20"/>
      <c r="G1949" s="20"/>
      <c r="H1949" s="19"/>
      <c r="I1949" s="20"/>
      <c r="J1949" s="19"/>
      <c r="K1949" s="17"/>
      <c r="L1949" s="649">
        <f t="shared" si="143"/>
        <v>14.525000000000002</v>
      </c>
    </row>
    <row r="1950" spans="2:12" ht="15">
      <c r="B1950" s="648"/>
      <c r="C1950" s="20"/>
      <c r="D1950" s="20"/>
      <c r="E1950" s="19"/>
      <c r="F1950" s="20"/>
      <c r="G1950" s="20"/>
      <c r="H1950" s="19"/>
      <c r="I1950" s="20"/>
      <c r="J1950" s="19"/>
      <c r="K1950" s="17"/>
      <c r="L1950" s="649"/>
    </row>
    <row r="1951" spans="2:12" ht="15">
      <c r="B1951" s="650"/>
      <c r="C1951" s="20"/>
      <c r="D1951" s="20"/>
      <c r="E1951" s="20"/>
      <c r="F1951" s="20"/>
      <c r="G1951" s="20"/>
      <c r="H1951" s="19"/>
      <c r="I1951" s="20"/>
      <c r="J1951" s="19"/>
      <c r="K1951" s="17"/>
      <c r="L1951" s="649"/>
    </row>
    <row r="1952" spans="2:12" ht="15">
      <c r="B1952" s="650"/>
      <c r="C1952" s="20"/>
      <c r="D1952" s="20"/>
      <c r="E1952" s="20"/>
      <c r="F1952" s="20"/>
      <c r="G1952" s="20"/>
      <c r="H1952" s="19"/>
      <c r="I1952" s="20"/>
      <c r="J1952" s="19"/>
      <c r="K1952" s="17"/>
      <c r="L1952" s="649"/>
    </row>
    <row r="1953" spans="2:12" ht="15.75">
      <c r="B1953" s="1002"/>
      <c r="C1953" s="1003"/>
      <c r="D1953" s="1003"/>
      <c r="E1953" s="1003"/>
      <c r="F1953" s="1003"/>
      <c r="G1953" s="1003"/>
      <c r="H1953" s="1003"/>
      <c r="I1953" s="1003"/>
      <c r="J1953" s="1003"/>
      <c r="K1953" s="1003"/>
      <c r="L1953" s="1004"/>
    </row>
    <row r="1954" spans="2:12" ht="15.75">
      <c r="B1954" s="756"/>
      <c r="C1954" s="757"/>
      <c r="D1954" s="757"/>
      <c r="E1954" s="757"/>
      <c r="F1954" s="757"/>
      <c r="G1954" s="757"/>
      <c r="H1954" s="757"/>
      <c r="I1954" s="757"/>
      <c r="J1954" s="757"/>
      <c r="K1954" s="757"/>
      <c r="L1954" s="758"/>
    </row>
    <row r="1955" spans="2:12" ht="15.75">
      <c r="B1955" s="638" t="s">
        <v>398</v>
      </c>
      <c r="C1955" s="8">
        <v>9</v>
      </c>
      <c r="D1955" s="9" t="s">
        <v>1032</v>
      </c>
      <c r="E1955" s="9"/>
      <c r="F1955" s="9"/>
      <c r="G1955" s="9"/>
      <c r="H1955" s="9"/>
      <c r="I1955" s="9"/>
      <c r="J1955" s="9"/>
      <c r="K1955" s="10"/>
      <c r="L1955" s="639"/>
    </row>
    <row r="1956" spans="2:12" ht="15">
      <c r="B1956" s="640"/>
      <c r="C1956" s="579"/>
      <c r="D1956" s="579"/>
      <c r="E1956" s="579"/>
      <c r="F1956" s="579"/>
      <c r="G1956" s="579"/>
      <c r="H1956" s="579"/>
      <c r="I1956" s="579"/>
      <c r="J1956" s="579"/>
      <c r="K1956" s="579"/>
      <c r="L1956" s="641"/>
    </row>
    <row r="1957" spans="2:12" ht="31.5">
      <c r="B1957" s="642" t="s">
        <v>399</v>
      </c>
      <c r="C1957" s="8">
        <f>+'PROPUESTA ECONOMICA(Proponente)'!C178</f>
        <v>9.1</v>
      </c>
      <c r="D1957" s="12" t="str">
        <f>+'PROPUESTA ECONOMICA(Proponente)'!G178</f>
        <v>Suministro e instalación de Estuco plástico, para muros y paredes</v>
      </c>
      <c r="E1957" s="13"/>
      <c r="F1957" s="12"/>
      <c r="G1957" s="12"/>
      <c r="H1957" s="12"/>
      <c r="I1957" s="11" t="s">
        <v>400</v>
      </c>
      <c r="J1957" s="12" t="str">
        <f>+VLOOKUP('MEMORIAS DE CANTIDADES'!C1957,'PROPUESTA ECONOMICA(Proponente)'!$C$21:$H$310,6,FALSE)</f>
        <v>m3</v>
      </c>
      <c r="K1957" s="11" t="s">
        <v>401</v>
      </c>
      <c r="L1957" s="643">
        <f>SUM(L1958:L2041)</f>
        <v>7143.11</v>
      </c>
    </row>
    <row r="1958" spans="2:12" ht="15">
      <c r="B1958" s="644"/>
      <c r="C1958" s="16"/>
      <c r="D1958" s="15"/>
      <c r="E1958" s="15"/>
      <c r="F1958" s="15"/>
      <c r="G1958" s="15"/>
      <c r="H1958" s="15"/>
      <c r="I1958" s="15"/>
      <c r="J1958" s="15"/>
      <c r="K1958" s="17"/>
      <c r="L1958" s="645"/>
    </row>
    <row r="1959" spans="2:12" ht="47.25">
      <c r="B1959" s="646" t="s">
        <v>402</v>
      </c>
      <c r="C1959" s="18" t="s">
        <v>403</v>
      </c>
      <c r="D1959" s="18" t="s">
        <v>404</v>
      </c>
      <c r="E1959" s="18" t="s">
        <v>405</v>
      </c>
      <c r="F1959" s="18" t="s">
        <v>406</v>
      </c>
      <c r="G1959" s="18" t="s">
        <v>407</v>
      </c>
      <c r="H1959" s="5" t="s">
        <v>408</v>
      </c>
      <c r="I1959" s="18" t="s">
        <v>409</v>
      </c>
      <c r="J1959" s="5" t="s">
        <v>410</v>
      </c>
      <c r="K1959" s="5" t="s">
        <v>411</v>
      </c>
      <c r="L1959" s="647" t="s">
        <v>412</v>
      </c>
    </row>
    <row r="1960" spans="2:12" ht="15.75">
      <c r="B1960" s="759" t="s">
        <v>598</v>
      </c>
      <c r="C1960" s="19"/>
      <c r="D1960" s="19"/>
      <c r="E1960" s="19"/>
      <c r="F1960" s="19"/>
      <c r="G1960" s="20"/>
      <c r="H1960" s="68"/>
      <c r="I1960" s="17"/>
      <c r="J1960" s="28"/>
      <c r="K1960" s="17"/>
      <c r="L1960" s="649"/>
    </row>
    <row r="1961" spans="2:12" ht="15">
      <c r="B1961" s="769" t="s">
        <v>815</v>
      </c>
      <c r="C1961" s="20"/>
      <c r="D1961" s="19"/>
      <c r="E1961" s="19">
        <v>2.8</v>
      </c>
      <c r="F1961" s="19">
        <v>20.6</v>
      </c>
      <c r="G1961" s="20"/>
      <c r="H1961" s="68"/>
      <c r="I1961" s="17"/>
      <c r="J1961" s="69"/>
      <c r="K1961" s="17"/>
      <c r="L1961" s="649">
        <f t="shared" ref="L1961:L1969" si="144">PRODUCT(C1961:K1961)</f>
        <v>57.68</v>
      </c>
    </row>
    <row r="1962" spans="2:12" ht="15">
      <c r="B1962" s="769" t="s">
        <v>816</v>
      </c>
      <c r="C1962" s="20"/>
      <c r="D1962" s="20"/>
      <c r="E1962" s="19">
        <v>0.6</v>
      </c>
      <c r="F1962" s="20">
        <v>51.3</v>
      </c>
      <c r="G1962" s="20"/>
      <c r="H1962" s="20"/>
      <c r="I1962" s="20"/>
      <c r="J1962" s="69"/>
      <c r="K1962" s="17"/>
      <c r="L1962" s="649">
        <f t="shared" si="144"/>
        <v>30.779999999999998</v>
      </c>
    </row>
    <row r="1963" spans="2:12" ht="15">
      <c r="B1963" s="769" t="s">
        <v>817</v>
      </c>
      <c r="C1963" s="20"/>
      <c r="D1963" s="20"/>
      <c r="E1963" s="19">
        <v>0.6</v>
      </c>
      <c r="F1963" s="20">
        <v>34.6</v>
      </c>
      <c r="G1963" s="20"/>
      <c r="H1963" s="19"/>
      <c r="I1963" s="20"/>
      <c r="J1963" s="19"/>
      <c r="K1963" s="17"/>
      <c r="L1963" s="649">
        <f t="shared" si="144"/>
        <v>20.76</v>
      </c>
    </row>
    <row r="1964" spans="2:12" ht="15">
      <c r="B1964" s="769" t="s">
        <v>818</v>
      </c>
      <c r="C1964" s="20"/>
      <c r="D1964" s="20"/>
      <c r="E1964" s="19">
        <v>0.6</v>
      </c>
      <c r="F1964" s="20">
        <v>29.8</v>
      </c>
      <c r="G1964" s="20"/>
      <c r="H1964" s="19"/>
      <c r="I1964" s="20"/>
      <c r="J1964" s="19"/>
      <c r="K1964" s="17"/>
      <c r="L1964" s="649">
        <f t="shared" si="144"/>
        <v>17.88</v>
      </c>
    </row>
    <row r="1965" spans="2:12" ht="15">
      <c r="B1965" s="769" t="s">
        <v>819</v>
      </c>
      <c r="C1965" s="20"/>
      <c r="D1965" s="20"/>
      <c r="E1965" s="19">
        <v>0.6</v>
      </c>
      <c r="F1965" s="20">
        <v>33</v>
      </c>
      <c r="G1965" s="20"/>
      <c r="H1965" s="19"/>
      <c r="I1965" s="20"/>
      <c r="J1965" s="19"/>
      <c r="K1965" s="17"/>
      <c r="L1965" s="649">
        <f t="shared" si="144"/>
        <v>19.8</v>
      </c>
    </row>
    <row r="1966" spans="2:12" ht="15">
      <c r="B1966" s="769" t="s">
        <v>820</v>
      </c>
      <c r="C1966" s="20"/>
      <c r="D1966" s="20"/>
      <c r="E1966" s="19">
        <v>0.6</v>
      </c>
      <c r="F1966" s="20">
        <v>51.3</v>
      </c>
      <c r="G1966" s="20"/>
      <c r="H1966" s="19"/>
      <c r="I1966" s="20"/>
      <c r="J1966" s="19"/>
      <c r="K1966" s="17"/>
      <c r="L1966" s="649">
        <f t="shared" si="144"/>
        <v>30.779999999999998</v>
      </c>
    </row>
    <row r="1967" spans="2:12" ht="15">
      <c r="B1967" s="769" t="s">
        <v>821</v>
      </c>
      <c r="C1967" s="20"/>
      <c r="D1967" s="20"/>
      <c r="E1967" s="19">
        <v>2.8</v>
      </c>
      <c r="F1967" s="20">
        <v>32</v>
      </c>
      <c r="G1967" s="20"/>
      <c r="H1967" s="19"/>
      <c r="I1967" s="20"/>
      <c r="J1967" s="19"/>
      <c r="K1967" s="17"/>
      <c r="L1967" s="649">
        <f t="shared" si="144"/>
        <v>89.6</v>
      </c>
    </row>
    <row r="1968" spans="2:12" ht="15">
      <c r="B1968" s="769" t="s">
        <v>824</v>
      </c>
      <c r="C1968" s="20"/>
      <c r="D1968" s="20"/>
      <c r="E1968" s="19">
        <v>2.8</v>
      </c>
      <c r="F1968" s="20">
        <v>26</v>
      </c>
      <c r="G1968" s="20"/>
      <c r="H1968" s="19"/>
      <c r="I1968" s="20"/>
      <c r="J1968" s="19"/>
      <c r="K1968" s="17"/>
      <c r="L1968" s="649">
        <f t="shared" si="144"/>
        <v>72.8</v>
      </c>
    </row>
    <row r="1969" spans="2:12" ht="15">
      <c r="B1969" s="769" t="s">
        <v>526</v>
      </c>
      <c r="C1969" s="20">
        <f>-6-6.45*2</f>
        <v>-18.899999999999999</v>
      </c>
      <c r="D1969" s="20"/>
      <c r="E1969" s="19"/>
      <c r="F1969" s="20"/>
      <c r="G1969" s="20"/>
      <c r="H1969" s="19"/>
      <c r="I1969" s="20"/>
      <c r="J1969" s="19"/>
      <c r="K1969" s="17"/>
      <c r="L1969" s="649">
        <f t="shared" si="144"/>
        <v>-18.899999999999999</v>
      </c>
    </row>
    <row r="1970" spans="2:12" ht="15">
      <c r="B1970" s="655"/>
      <c r="C1970" s="20"/>
      <c r="D1970" s="20"/>
      <c r="E1970" s="20"/>
      <c r="F1970" s="20"/>
      <c r="G1970" s="20"/>
      <c r="H1970" s="19"/>
      <c r="I1970" s="20"/>
      <c r="J1970" s="19"/>
      <c r="K1970" s="17"/>
      <c r="L1970" s="649"/>
    </row>
    <row r="1971" spans="2:12" ht="15.75">
      <c r="B1971" s="759" t="s">
        <v>659</v>
      </c>
      <c r="C1971" s="19"/>
      <c r="D1971" s="19"/>
      <c r="E1971" s="19"/>
      <c r="F1971" s="20"/>
      <c r="G1971" s="20"/>
      <c r="H1971" s="19"/>
      <c r="I1971" s="20"/>
      <c r="J1971" s="19"/>
      <c r="K1971" s="17"/>
      <c r="L1971" s="649"/>
    </row>
    <row r="1972" spans="2:12" ht="15">
      <c r="B1972" s="769" t="s">
        <v>817</v>
      </c>
      <c r="C1972" s="20"/>
      <c r="D1972" s="20"/>
      <c r="E1972" s="19">
        <v>0.6</v>
      </c>
      <c r="F1972" s="20">
        <v>33.4</v>
      </c>
      <c r="G1972" s="20"/>
      <c r="H1972" s="19"/>
      <c r="I1972" s="20">
        <v>2</v>
      </c>
      <c r="J1972" s="19"/>
      <c r="K1972" s="17"/>
      <c r="L1972" s="649">
        <f t="shared" ref="L1972:L1974" si="145">PRODUCT(C1972:K1972)</f>
        <v>40.08</v>
      </c>
    </row>
    <row r="1973" spans="2:12" ht="15">
      <c r="B1973" s="769" t="s">
        <v>819</v>
      </c>
      <c r="C1973" s="20"/>
      <c r="D1973" s="20"/>
      <c r="E1973" s="19">
        <v>0.6</v>
      </c>
      <c r="F1973" s="20">
        <v>33.4</v>
      </c>
      <c r="G1973" s="20"/>
      <c r="H1973" s="19"/>
      <c r="I1973" s="20">
        <v>2</v>
      </c>
      <c r="J1973" s="19"/>
      <c r="K1973" s="17"/>
      <c r="L1973" s="649">
        <f t="shared" si="145"/>
        <v>40.08</v>
      </c>
    </row>
    <row r="1974" spans="2:12" ht="15">
      <c r="B1974" s="769" t="s">
        <v>824</v>
      </c>
      <c r="C1974" s="20"/>
      <c r="D1974" s="20"/>
      <c r="E1974" s="19">
        <v>2.8</v>
      </c>
      <c r="F1974" s="20">
        <v>24</v>
      </c>
      <c r="G1974" s="20"/>
      <c r="H1974" s="19"/>
      <c r="I1974" s="20">
        <v>2</v>
      </c>
      <c r="J1974" s="19"/>
      <c r="K1974" s="17"/>
      <c r="L1974" s="649">
        <f t="shared" si="145"/>
        <v>134.39999999999998</v>
      </c>
    </row>
    <row r="1975" spans="2:12" ht="15">
      <c r="B1975" s="769"/>
      <c r="C1975" s="20"/>
      <c r="D1975" s="20"/>
      <c r="E1975" s="19"/>
      <c r="F1975" s="20"/>
      <c r="G1975" s="20"/>
      <c r="H1975" s="19"/>
      <c r="I1975" s="20"/>
      <c r="J1975" s="19"/>
      <c r="K1975" s="17"/>
      <c r="L1975" s="649"/>
    </row>
    <row r="1976" spans="2:12" ht="15.75">
      <c r="B1976" s="770" t="s">
        <v>594</v>
      </c>
      <c r="C1976" s="20"/>
      <c r="D1976" s="20"/>
      <c r="E1976" s="19"/>
      <c r="F1976" s="20"/>
      <c r="G1976" s="20"/>
      <c r="H1976" s="19"/>
      <c r="I1976" s="20"/>
      <c r="J1976" s="19"/>
      <c r="K1976" s="17"/>
      <c r="L1976" s="649"/>
    </row>
    <row r="1977" spans="2:12" ht="15">
      <c r="B1977" s="769" t="s">
        <v>816</v>
      </c>
      <c r="C1977" s="20"/>
      <c r="D1977" s="20"/>
      <c r="E1977" s="19">
        <v>0.6</v>
      </c>
      <c r="F1977" s="20">
        <v>31.7</v>
      </c>
      <c r="G1977" s="20"/>
      <c r="H1977" s="19"/>
      <c r="I1977" s="20">
        <v>1</v>
      </c>
      <c r="J1977" s="19"/>
      <c r="K1977" s="17"/>
      <c r="L1977" s="649">
        <f t="shared" ref="L1977:L1979" si="146">PRODUCT(C1977:K1977)</f>
        <v>19.02</v>
      </c>
    </row>
    <row r="1978" spans="2:12" ht="15">
      <c r="B1978" s="769" t="s">
        <v>820</v>
      </c>
      <c r="C1978" s="20"/>
      <c r="D1978" s="20"/>
      <c r="E1978" s="19">
        <v>0.6</v>
      </c>
      <c r="F1978" s="20">
        <v>31.7</v>
      </c>
      <c r="G1978" s="20"/>
      <c r="H1978" s="19"/>
      <c r="I1978" s="20">
        <v>1</v>
      </c>
      <c r="J1978" s="19"/>
      <c r="K1978" s="17"/>
      <c r="L1978" s="649">
        <f t="shared" si="146"/>
        <v>19.02</v>
      </c>
    </row>
    <row r="1979" spans="2:12" ht="15">
      <c r="B1979" s="769" t="s">
        <v>825</v>
      </c>
      <c r="C1979" s="20"/>
      <c r="D1979" s="20"/>
      <c r="E1979" s="19">
        <v>3.1</v>
      </c>
      <c r="F1979" s="20">
        <v>16</v>
      </c>
      <c r="G1979" s="20"/>
      <c r="H1979" s="19"/>
      <c r="I1979" s="20">
        <v>2</v>
      </c>
      <c r="J1979" s="19"/>
      <c r="K1979" s="17"/>
      <c r="L1979" s="649">
        <f t="shared" si="146"/>
        <v>99.2</v>
      </c>
    </row>
    <row r="1980" spans="2:12" ht="15">
      <c r="B1980" s="655"/>
      <c r="C1980" s="20"/>
      <c r="D1980" s="20"/>
      <c r="E1980" s="19"/>
      <c r="F1980" s="20"/>
      <c r="G1980" s="20"/>
      <c r="H1980" s="19"/>
      <c r="I1980" s="20"/>
      <c r="J1980" s="19"/>
      <c r="K1980" s="17"/>
      <c r="L1980" s="649"/>
    </row>
    <row r="1981" spans="2:12" ht="15.75">
      <c r="B1981" s="770" t="s">
        <v>545</v>
      </c>
      <c r="C1981" s="20"/>
      <c r="D1981" s="20"/>
      <c r="E1981" s="19"/>
      <c r="F1981" s="20"/>
      <c r="G1981" s="20"/>
      <c r="H1981" s="19"/>
      <c r="I1981" s="20"/>
      <c r="J1981" s="19"/>
      <c r="K1981" s="17"/>
      <c r="L1981" s="649"/>
    </row>
    <row r="1982" spans="2:12" ht="15">
      <c r="B1982" s="769" t="s">
        <v>546</v>
      </c>
      <c r="C1982" s="20"/>
      <c r="D1982" s="20"/>
      <c r="E1982" s="19">
        <v>0.6</v>
      </c>
      <c r="F1982" s="20">
        <v>7.57</v>
      </c>
      <c r="G1982" s="20"/>
      <c r="H1982" s="19"/>
      <c r="I1982" s="20"/>
      <c r="J1982" s="19"/>
      <c r="K1982" s="17">
        <v>2</v>
      </c>
      <c r="L1982" s="649">
        <f t="shared" ref="L1982:L1983" si="147">PRODUCT(C1982:K1982)</f>
        <v>9.0839999999999996</v>
      </c>
    </row>
    <row r="1983" spans="2:12" ht="15">
      <c r="B1983" s="650"/>
      <c r="C1983" s="20"/>
      <c r="D1983" s="20"/>
      <c r="E1983" s="19"/>
      <c r="F1983" s="20"/>
      <c r="G1983" s="20"/>
      <c r="H1983" s="19"/>
      <c r="I1983" s="20"/>
      <c r="J1983" s="19"/>
      <c r="K1983" s="17"/>
      <c r="L1983" s="649">
        <f t="shared" si="147"/>
        <v>0</v>
      </c>
    </row>
    <row r="1984" spans="2:12" ht="15.75">
      <c r="B1984" s="770" t="s">
        <v>545</v>
      </c>
      <c r="C1984" s="20"/>
      <c r="D1984" s="20"/>
      <c r="E1984" s="19"/>
      <c r="F1984" s="20"/>
      <c r="G1984" s="20"/>
      <c r="H1984" s="19"/>
      <c r="I1984" s="20"/>
      <c r="J1984" s="19"/>
      <c r="K1984" s="17"/>
      <c r="L1984" s="649"/>
    </row>
    <row r="1985" spans="2:12" ht="15">
      <c r="B1985" s="769" t="s">
        <v>438</v>
      </c>
      <c r="C1985" s="20"/>
      <c r="D1985" s="20"/>
      <c r="E1985" s="39"/>
      <c r="F1985" s="39"/>
      <c r="G1985" s="20"/>
      <c r="H1985" s="19"/>
      <c r="I1985" s="20"/>
      <c r="J1985" s="19"/>
      <c r="K1985" s="17"/>
      <c r="L1985" s="649"/>
    </row>
    <row r="1986" spans="2:12" ht="15">
      <c r="B1986" s="769" t="s">
        <v>549</v>
      </c>
      <c r="C1986" s="20"/>
      <c r="D1986" s="20"/>
      <c r="E1986" s="19">
        <v>1</v>
      </c>
      <c r="F1986" s="20">
        <v>8.5</v>
      </c>
      <c r="G1986" s="20"/>
      <c r="H1986" s="19"/>
      <c r="I1986" s="20"/>
      <c r="J1986" s="19"/>
      <c r="K1986" s="17">
        <v>3</v>
      </c>
      <c r="L1986" s="649">
        <f t="shared" ref="L1986:L1988" si="148">PRODUCT(C1986:K1986)</f>
        <v>25.5</v>
      </c>
    </row>
    <row r="1987" spans="2:12" ht="15">
      <c r="B1987" s="769" t="s">
        <v>535</v>
      </c>
      <c r="C1987" s="20"/>
      <c r="D1987" s="20"/>
      <c r="E1987" s="19">
        <v>3</v>
      </c>
      <c r="F1987" s="20">
        <v>16.8</v>
      </c>
      <c r="G1987" s="20"/>
      <c r="H1987" s="19"/>
      <c r="I1987" s="20"/>
      <c r="J1987" s="19"/>
      <c r="K1987" s="17">
        <v>3</v>
      </c>
      <c r="L1987" s="649">
        <f t="shared" si="148"/>
        <v>151.20000000000002</v>
      </c>
    </row>
    <row r="1988" spans="2:12" ht="15">
      <c r="B1988" s="769" t="s">
        <v>526</v>
      </c>
      <c r="C1988" s="20">
        <v>-4</v>
      </c>
      <c r="D1988" s="20"/>
      <c r="E1988" s="19"/>
      <c r="F1988" s="20"/>
      <c r="G1988" s="20"/>
      <c r="H1988" s="19"/>
      <c r="I1988" s="20"/>
      <c r="J1988" s="19"/>
      <c r="K1988" s="17">
        <v>3</v>
      </c>
      <c r="L1988" s="649">
        <f t="shared" si="148"/>
        <v>-12</v>
      </c>
    </row>
    <row r="1989" spans="2:12" ht="15">
      <c r="B1989" s="769" t="s">
        <v>526</v>
      </c>
      <c r="C1989" s="20"/>
      <c r="D1989" s="20"/>
      <c r="E1989" s="19">
        <v>-1.3</v>
      </c>
      <c r="F1989" s="20">
        <v>2.4</v>
      </c>
      <c r="G1989" s="20"/>
      <c r="H1989" s="19"/>
      <c r="I1989" s="20"/>
      <c r="J1989" s="19">
        <v>2</v>
      </c>
      <c r="K1989" s="17">
        <v>3</v>
      </c>
      <c r="L1989" s="649">
        <f>PRODUCT(C1989:K1989)</f>
        <v>-18.72</v>
      </c>
    </row>
    <row r="1990" spans="2:12" ht="15">
      <c r="B1990" s="769"/>
      <c r="C1990" s="20"/>
      <c r="D1990" s="20"/>
      <c r="E1990" s="19"/>
      <c r="F1990" s="20"/>
      <c r="G1990" s="20"/>
      <c r="H1990" s="19"/>
      <c r="I1990" s="20"/>
      <c r="J1990" s="19"/>
      <c r="K1990" s="17"/>
      <c r="L1990" s="649"/>
    </row>
    <row r="1991" spans="2:12" ht="15">
      <c r="B1991" s="648" t="s">
        <v>528</v>
      </c>
      <c r="C1991" s="20"/>
      <c r="D1991" s="20"/>
      <c r="E1991" s="19">
        <v>2.8</v>
      </c>
      <c r="F1991" s="20">
        <v>14</v>
      </c>
      <c r="G1991" s="20"/>
      <c r="H1991" s="19"/>
      <c r="I1991" s="20"/>
      <c r="J1991" s="19">
        <v>2</v>
      </c>
      <c r="K1991" s="17"/>
      <c r="L1991" s="649">
        <f>PRODUCT(C1991:K1991)</f>
        <v>78.399999999999991</v>
      </c>
    </row>
    <row r="1992" spans="2:12" ht="15">
      <c r="B1992" s="648" t="s">
        <v>529</v>
      </c>
      <c r="C1992" s="20"/>
      <c r="D1992" s="20"/>
      <c r="E1992" s="19">
        <v>2.8</v>
      </c>
      <c r="F1992" s="20">
        <v>14</v>
      </c>
      <c r="G1992" s="20"/>
      <c r="H1992" s="19"/>
      <c r="I1992" s="20"/>
      <c r="J1992" s="19"/>
      <c r="K1992" s="17"/>
      <c r="L1992" s="649">
        <f t="shared" ref="L1992:L1994" si="149">PRODUCT(C1992:K1992)</f>
        <v>39.199999999999996</v>
      </c>
    </row>
    <row r="1993" spans="2:12" ht="15">
      <c r="B1993" s="648" t="s">
        <v>530</v>
      </c>
      <c r="C1993" s="20"/>
      <c r="D1993" s="20"/>
      <c r="E1993" s="19">
        <v>2.8</v>
      </c>
      <c r="F1993" s="20">
        <v>14</v>
      </c>
      <c r="G1993" s="20"/>
      <c r="H1993" s="19"/>
      <c r="I1993" s="20"/>
      <c r="J1993" s="19"/>
      <c r="K1993" s="17"/>
      <c r="L1993" s="649">
        <f t="shared" si="149"/>
        <v>39.199999999999996</v>
      </c>
    </row>
    <row r="1994" spans="2:12" ht="15">
      <c r="B1994" s="648" t="s">
        <v>526</v>
      </c>
      <c r="C1994" s="20">
        <v>6</v>
      </c>
      <c r="D1994" s="20"/>
      <c r="E1994" s="19"/>
      <c r="F1994" s="20"/>
      <c r="G1994" s="20"/>
      <c r="H1994" s="19"/>
      <c r="I1994" s="20"/>
      <c r="J1994" s="19">
        <v>4</v>
      </c>
      <c r="K1994" s="17"/>
      <c r="L1994" s="649">
        <f t="shared" si="149"/>
        <v>24</v>
      </c>
    </row>
    <row r="1995" spans="2:12" ht="15">
      <c r="B1995" s="650"/>
      <c r="C1995" s="20"/>
      <c r="D1995" s="20"/>
      <c r="E1995" s="20"/>
      <c r="F1995" s="20"/>
      <c r="G1995" s="20"/>
      <c r="H1995" s="19"/>
      <c r="I1995" s="20"/>
      <c r="J1995" s="19"/>
      <c r="K1995" s="17"/>
      <c r="L1995" s="649"/>
    </row>
    <row r="1996" spans="2:12" ht="15.75">
      <c r="B1996" s="771" t="s">
        <v>830</v>
      </c>
      <c r="C1996" s="20"/>
      <c r="D1996" s="20"/>
      <c r="E1996" s="20"/>
      <c r="F1996" s="20"/>
      <c r="G1996" s="20"/>
      <c r="H1996" s="19"/>
      <c r="I1996" s="20"/>
      <c r="J1996" s="19"/>
      <c r="K1996" s="17"/>
      <c r="L1996" s="649"/>
    </row>
    <row r="1997" spans="2:12" ht="15">
      <c r="B1997" s="650"/>
      <c r="C1997" s="20"/>
      <c r="D1997" s="20"/>
      <c r="E1997" s="20"/>
      <c r="F1997" s="20"/>
      <c r="G1997" s="20"/>
      <c r="H1997" s="19"/>
      <c r="I1997" s="20"/>
      <c r="J1997" s="19"/>
      <c r="K1997" s="17"/>
      <c r="L1997" s="649"/>
    </row>
    <row r="1998" spans="2:12" ht="15.75">
      <c r="B1998" s="759" t="s">
        <v>598</v>
      </c>
      <c r="C1998" s="19"/>
      <c r="D1998" s="19"/>
      <c r="E1998" s="19"/>
      <c r="F1998" s="19"/>
      <c r="G1998" s="20"/>
      <c r="H1998" s="68"/>
      <c r="I1998" s="17"/>
      <c r="J1998" s="28"/>
      <c r="K1998" s="17"/>
      <c r="L1998" s="649"/>
    </row>
    <row r="1999" spans="2:12" ht="15">
      <c r="B1999" s="769" t="s">
        <v>826</v>
      </c>
      <c r="C1999" s="20"/>
      <c r="D1999" s="19"/>
      <c r="E1999" s="39">
        <v>4.2</v>
      </c>
      <c r="F1999" s="138">
        <f>54.53+54.11</f>
        <v>108.64</v>
      </c>
      <c r="G1999" s="20"/>
      <c r="H1999" s="68"/>
      <c r="I1999" s="17"/>
      <c r="J1999" s="69"/>
      <c r="K1999" s="17"/>
      <c r="L1999" s="649">
        <f>PRODUCT(C1999:K1999)</f>
        <v>456.28800000000001</v>
      </c>
    </row>
    <row r="2000" spans="2:12" ht="15">
      <c r="B2000" s="769" t="s">
        <v>804</v>
      </c>
      <c r="C2000" s="20">
        <v>20.399999999999999</v>
      </c>
      <c r="D2000" s="19"/>
      <c r="E2000" s="19"/>
      <c r="F2000" s="19"/>
      <c r="G2000" s="20"/>
      <c r="H2000" s="68"/>
      <c r="I2000" s="17">
        <v>4</v>
      </c>
      <c r="J2000" s="69"/>
      <c r="K2000" s="17"/>
      <c r="L2000" s="649">
        <f>PRODUCT(C2000:K2000)</f>
        <v>81.599999999999994</v>
      </c>
    </row>
    <row r="2001" spans="2:12" ht="15">
      <c r="B2001" s="769" t="s">
        <v>596</v>
      </c>
      <c r="C2001" s="20"/>
      <c r="D2001" s="19">
        <v>12.5</v>
      </c>
      <c r="E2001" s="19"/>
      <c r="F2001" s="19">
        <v>45.46</v>
      </c>
      <c r="G2001" s="20"/>
      <c r="H2001" s="68"/>
      <c r="I2001" s="17">
        <v>2</v>
      </c>
      <c r="J2001" s="69"/>
      <c r="K2001" s="17"/>
      <c r="L2001" s="649">
        <f t="shared" ref="L2001:L2004" si="150">PRODUCT(C2001:K2001)</f>
        <v>1136.5</v>
      </c>
    </row>
    <row r="2002" spans="2:12" ht="15">
      <c r="B2002" s="769" t="s">
        <v>827</v>
      </c>
      <c r="C2002" s="20">
        <v>-2</v>
      </c>
      <c r="D2002" s="19"/>
      <c r="E2002" s="19"/>
      <c r="F2002" s="19"/>
      <c r="G2002" s="20"/>
      <c r="H2002" s="68"/>
      <c r="I2002" s="17">
        <v>8</v>
      </c>
      <c r="J2002" s="69"/>
      <c r="K2002" s="17"/>
      <c r="L2002" s="649">
        <f t="shared" si="150"/>
        <v>-16</v>
      </c>
    </row>
    <row r="2003" spans="2:12" ht="15">
      <c r="B2003" s="769" t="s">
        <v>828</v>
      </c>
      <c r="C2003" s="20">
        <v>-0.6</v>
      </c>
      <c r="D2003" s="19"/>
      <c r="E2003" s="19"/>
      <c r="F2003" s="19" t="s">
        <v>829</v>
      </c>
      <c r="G2003" s="20"/>
      <c r="H2003" s="68"/>
      <c r="I2003" s="17">
        <v>20</v>
      </c>
      <c r="J2003" s="69"/>
      <c r="K2003" s="17"/>
      <c r="L2003" s="649">
        <f t="shared" si="150"/>
        <v>-12</v>
      </c>
    </row>
    <row r="2004" spans="2:12" ht="15">
      <c r="B2004" s="769" t="s">
        <v>526</v>
      </c>
      <c r="C2004" s="20">
        <v>-1.56</v>
      </c>
      <c r="D2004" s="19"/>
      <c r="E2004" s="19"/>
      <c r="F2004" s="19"/>
      <c r="G2004" s="20"/>
      <c r="H2004" s="68"/>
      <c r="I2004" s="17">
        <v>3</v>
      </c>
      <c r="J2004" s="69"/>
      <c r="K2004" s="17"/>
      <c r="L2004" s="649">
        <f t="shared" si="150"/>
        <v>-4.68</v>
      </c>
    </row>
    <row r="2005" spans="2:12" ht="15">
      <c r="B2005" s="769"/>
      <c r="C2005" s="20"/>
      <c r="D2005" s="19"/>
      <c r="E2005" s="19"/>
      <c r="F2005" s="19"/>
      <c r="G2005" s="20"/>
      <c r="H2005" s="68"/>
      <c r="I2005" s="17"/>
      <c r="J2005" s="69"/>
      <c r="K2005" s="17"/>
      <c r="L2005" s="649"/>
    </row>
    <row r="2006" spans="2:12" ht="15">
      <c r="B2006" s="655"/>
      <c r="C2006" s="20"/>
      <c r="D2006" s="20"/>
      <c r="E2006" s="20"/>
      <c r="F2006" s="20"/>
      <c r="G2006" s="20"/>
      <c r="H2006" s="19"/>
      <c r="I2006" s="20"/>
      <c r="J2006" s="19"/>
      <c r="K2006" s="17"/>
      <c r="L2006" s="649"/>
    </row>
    <row r="2007" spans="2:12" ht="15.75">
      <c r="B2007" s="759" t="s">
        <v>659</v>
      </c>
      <c r="C2007" s="19"/>
      <c r="D2007" s="19"/>
      <c r="E2007" s="19"/>
      <c r="F2007" s="20"/>
      <c r="G2007" s="20"/>
      <c r="H2007" s="19"/>
      <c r="I2007" s="20"/>
      <c r="J2007" s="19"/>
      <c r="K2007" s="17"/>
      <c r="L2007" s="649"/>
    </row>
    <row r="2008" spans="2:12" ht="15">
      <c r="B2008" s="769" t="s">
        <v>826</v>
      </c>
      <c r="C2008" s="19"/>
      <c r="D2008" s="19"/>
      <c r="E2008" s="19">
        <v>4.2</v>
      </c>
      <c r="F2008" s="20">
        <v>82.4</v>
      </c>
      <c r="G2008" s="20"/>
      <c r="H2008" s="19"/>
      <c r="I2008" s="20"/>
      <c r="J2008" s="19"/>
      <c r="K2008" s="17"/>
      <c r="L2008" s="649">
        <f>PRODUCT(C2008:K2008)</f>
        <v>346.08000000000004</v>
      </c>
    </row>
    <row r="2009" spans="2:12" ht="15">
      <c r="B2009" s="769" t="s">
        <v>804</v>
      </c>
      <c r="C2009" s="20">
        <v>20.399999999999999</v>
      </c>
      <c r="D2009" s="20"/>
      <c r="E2009" s="19"/>
      <c r="F2009" s="20"/>
      <c r="G2009" s="20"/>
      <c r="H2009" s="19"/>
      <c r="I2009" s="20">
        <v>2</v>
      </c>
      <c r="J2009" s="19"/>
      <c r="K2009" s="17"/>
      <c r="L2009" s="649">
        <f t="shared" ref="L2009:L2012" si="151">PRODUCT(C2009:K2009)</f>
        <v>40.799999999999997</v>
      </c>
    </row>
    <row r="2010" spans="2:12" ht="15">
      <c r="B2010" s="769" t="s">
        <v>596</v>
      </c>
      <c r="C2010" s="20"/>
      <c r="D2010" s="20">
        <v>12.5</v>
      </c>
      <c r="E2010" s="19"/>
      <c r="F2010" s="20">
        <v>60</v>
      </c>
      <c r="G2010" s="20"/>
      <c r="H2010" s="19"/>
      <c r="I2010" s="20">
        <v>2</v>
      </c>
      <c r="J2010" s="19"/>
      <c r="K2010" s="17"/>
      <c r="L2010" s="649">
        <f t="shared" si="151"/>
        <v>1500</v>
      </c>
    </row>
    <row r="2011" spans="2:12" ht="15">
      <c r="B2011" s="769" t="s">
        <v>827</v>
      </c>
      <c r="C2011" s="20">
        <v>-2</v>
      </c>
      <c r="D2011" s="19"/>
      <c r="E2011" s="19"/>
      <c r="F2011" s="19"/>
      <c r="G2011" s="20"/>
      <c r="H2011" s="68"/>
      <c r="I2011" s="17">
        <v>6</v>
      </c>
      <c r="J2011" s="19"/>
      <c r="K2011" s="17"/>
      <c r="L2011" s="649">
        <f t="shared" si="151"/>
        <v>-12</v>
      </c>
    </row>
    <row r="2012" spans="2:12" ht="15">
      <c r="B2012" s="769" t="s">
        <v>828</v>
      </c>
      <c r="C2012" s="20">
        <v>-0.6</v>
      </c>
      <c r="D2012" s="19"/>
      <c r="E2012" s="19"/>
      <c r="F2012" s="19"/>
      <c r="G2012" s="20"/>
      <c r="H2012" s="68"/>
      <c r="I2012" s="17">
        <v>30</v>
      </c>
      <c r="J2012" s="19"/>
      <c r="K2012" s="17"/>
      <c r="L2012" s="649">
        <f t="shared" si="151"/>
        <v>-18</v>
      </c>
    </row>
    <row r="2013" spans="2:12" ht="15">
      <c r="B2013" s="769"/>
      <c r="C2013" s="20"/>
      <c r="D2013" s="19"/>
      <c r="E2013" s="19"/>
      <c r="F2013" s="19"/>
      <c r="G2013" s="20"/>
      <c r="H2013" s="68"/>
      <c r="I2013" s="17"/>
      <c r="J2013" s="19"/>
      <c r="K2013" s="17"/>
      <c r="L2013" s="649"/>
    </row>
    <row r="2014" spans="2:12" ht="15.75">
      <c r="B2014" s="759" t="s">
        <v>594</v>
      </c>
      <c r="C2014" s="20"/>
      <c r="D2014" s="19"/>
      <c r="E2014" s="19">
        <v>5.7</v>
      </c>
      <c r="F2014" s="19">
        <v>40</v>
      </c>
      <c r="G2014" s="20"/>
      <c r="H2014" s="68"/>
      <c r="I2014" s="17">
        <v>2</v>
      </c>
      <c r="J2014" s="19"/>
      <c r="K2014" s="17"/>
      <c r="L2014" s="649">
        <f t="shared" ref="L2014" si="152">PRODUCT(C2014:K2014)</f>
        <v>456</v>
      </c>
    </row>
    <row r="2015" spans="2:12" ht="15.75">
      <c r="B2015" s="759"/>
      <c r="C2015" s="20"/>
      <c r="D2015" s="19"/>
      <c r="E2015" s="19"/>
      <c r="F2015" s="19"/>
      <c r="G2015" s="20"/>
      <c r="H2015" s="68"/>
      <c r="I2015" s="17"/>
      <c r="J2015" s="19"/>
      <c r="K2015" s="17"/>
      <c r="L2015" s="649"/>
    </row>
    <row r="2016" spans="2:12" ht="15.75">
      <c r="B2016" s="770" t="s">
        <v>782</v>
      </c>
      <c r="C2016" s="20"/>
      <c r="D2016" s="20"/>
      <c r="E2016" s="19"/>
      <c r="F2016" s="20"/>
      <c r="G2016" s="20"/>
      <c r="H2016" s="68"/>
      <c r="I2016" s="17"/>
      <c r="J2016" s="19"/>
      <c r="K2016" s="17"/>
      <c r="L2016" s="649"/>
    </row>
    <row r="2017" spans="2:12" ht="15">
      <c r="B2017" s="769" t="s">
        <v>826</v>
      </c>
      <c r="C2017" s="20"/>
      <c r="D2017" s="20"/>
      <c r="E2017" s="19">
        <v>4.2</v>
      </c>
      <c r="F2017" s="20">
        <v>41.75</v>
      </c>
      <c r="G2017" s="20"/>
      <c r="H2017" s="68"/>
      <c r="I2017" s="17"/>
      <c r="J2017" s="19"/>
      <c r="K2017" s="17"/>
      <c r="L2017" s="649">
        <f t="shared" ref="L2017:L2021" si="153">PRODUCT(C2017:K2017)</f>
        <v>175.35</v>
      </c>
    </row>
    <row r="2018" spans="2:12" ht="15">
      <c r="B2018" s="769" t="s">
        <v>804</v>
      </c>
      <c r="C2018" s="20">
        <v>20.399999999999999</v>
      </c>
      <c r="D2018" s="20"/>
      <c r="E2018" s="19"/>
      <c r="F2018" s="20"/>
      <c r="G2018" s="20"/>
      <c r="H2018" s="68"/>
      <c r="I2018" s="17">
        <v>2</v>
      </c>
      <c r="J2018" s="19"/>
      <c r="K2018" s="17"/>
      <c r="L2018" s="649">
        <f t="shared" si="153"/>
        <v>40.799999999999997</v>
      </c>
    </row>
    <row r="2019" spans="2:12" ht="15">
      <c r="B2019" s="769" t="s">
        <v>596</v>
      </c>
      <c r="C2019" s="20"/>
      <c r="D2019" s="20"/>
      <c r="E2019" s="19">
        <v>12.5</v>
      </c>
      <c r="F2019" s="20">
        <v>32</v>
      </c>
      <c r="G2019" s="20"/>
      <c r="H2019" s="68"/>
      <c r="I2019" s="17"/>
      <c r="J2019" s="19"/>
      <c r="K2019" s="17"/>
      <c r="L2019" s="649">
        <f t="shared" si="153"/>
        <v>400</v>
      </c>
    </row>
    <row r="2020" spans="2:12" ht="15">
      <c r="B2020" s="769" t="s">
        <v>827</v>
      </c>
      <c r="C2020" s="20">
        <v>-4</v>
      </c>
      <c r="D2020" s="20"/>
      <c r="E2020" s="19"/>
      <c r="F2020" s="20"/>
      <c r="G2020" s="20"/>
      <c r="H2020" s="68"/>
      <c r="I2020" s="17"/>
      <c r="J2020" s="19"/>
      <c r="K2020" s="17"/>
      <c r="L2020" s="649">
        <f t="shared" si="153"/>
        <v>-4</v>
      </c>
    </row>
    <row r="2021" spans="2:12" ht="15">
      <c r="B2021" s="769" t="s">
        <v>828</v>
      </c>
      <c r="C2021" s="20">
        <v>-0.6</v>
      </c>
      <c r="D2021" s="19"/>
      <c r="E2021" s="19"/>
      <c r="F2021" s="19"/>
      <c r="G2021" s="20"/>
      <c r="H2021" s="68"/>
      <c r="I2021" s="17">
        <v>8</v>
      </c>
      <c r="J2021" s="19"/>
      <c r="K2021" s="17"/>
      <c r="L2021" s="649">
        <f t="shared" si="153"/>
        <v>-4.8</v>
      </c>
    </row>
    <row r="2022" spans="2:12" ht="15">
      <c r="B2022" s="655"/>
      <c r="C2022" s="20"/>
      <c r="D2022" s="20"/>
      <c r="E2022" s="19"/>
      <c r="F2022" s="20"/>
      <c r="G2022" s="20"/>
      <c r="H2022" s="19"/>
      <c r="I2022" s="20"/>
      <c r="J2022" s="19"/>
      <c r="K2022" s="17"/>
      <c r="L2022" s="649"/>
    </row>
    <row r="2023" spans="2:12" ht="15.75">
      <c r="B2023" s="770" t="s">
        <v>545</v>
      </c>
      <c r="C2023" s="20"/>
      <c r="D2023" s="20"/>
      <c r="E2023" s="19"/>
      <c r="F2023" s="20"/>
      <c r="G2023" s="20"/>
      <c r="H2023" s="19"/>
      <c r="I2023" s="20"/>
      <c r="J2023" s="19"/>
      <c r="K2023" s="17">
        <v>3</v>
      </c>
      <c r="L2023" s="649"/>
    </row>
    <row r="2024" spans="2:12" ht="15">
      <c r="B2024" s="769" t="s">
        <v>438</v>
      </c>
      <c r="C2024" s="20"/>
      <c r="D2024" s="20"/>
      <c r="E2024" s="39"/>
      <c r="F2024" s="39"/>
      <c r="G2024" s="20"/>
      <c r="H2024" s="19"/>
      <c r="I2024" s="20"/>
      <c r="J2024" s="19"/>
      <c r="K2024" s="17">
        <v>3</v>
      </c>
      <c r="L2024" s="649"/>
    </row>
    <row r="2025" spans="2:12" ht="15">
      <c r="B2025" s="769" t="s">
        <v>535</v>
      </c>
      <c r="C2025" s="20"/>
      <c r="D2025" s="20"/>
      <c r="E2025" s="19">
        <v>3.5</v>
      </c>
      <c r="F2025" s="20">
        <v>18.3</v>
      </c>
      <c r="G2025" s="20"/>
      <c r="H2025" s="19"/>
      <c r="I2025" s="20"/>
      <c r="J2025" s="19"/>
      <c r="K2025" s="17">
        <v>3</v>
      </c>
      <c r="L2025" s="649">
        <f t="shared" ref="L2025:L2026" si="154">PRODUCT(C2025:K2025)</f>
        <v>192.14999999999998</v>
      </c>
    </row>
    <row r="2026" spans="2:12" ht="15">
      <c r="B2026" s="769" t="s">
        <v>526</v>
      </c>
      <c r="C2026" s="20">
        <v>2</v>
      </c>
      <c r="D2026" s="20"/>
      <c r="E2026" s="19"/>
      <c r="F2026" s="20"/>
      <c r="G2026" s="20"/>
      <c r="H2026" s="19"/>
      <c r="I2026" s="20"/>
      <c r="J2026" s="19"/>
      <c r="K2026" s="17">
        <v>3</v>
      </c>
      <c r="L2026" s="649">
        <f t="shared" si="154"/>
        <v>6</v>
      </c>
    </row>
    <row r="2027" spans="2:12" ht="15">
      <c r="B2027" s="769" t="s">
        <v>526</v>
      </c>
      <c r="C2027" s="20"/>
      <c r="D2027" s="20"/>
      <c r="E2027" s="19">
        <v>-1.3</v>
      </c>
      <c r="F2027" s="20">
        <v>2.4</v>
      </c>
      <c r="G2027" s="20"/>
      <c r="H2027" s="19"/>
      <c r="I2027" s="20"/>
      <c r="J2027" s="19">
        <v>2</v>
      </c>
      <c r="K2027" s="17">
        <v>3</v>
      </c>
      <c r="L2027" s="649">
        <f>PRODUCT(C2027:K2027)</f>
        <v>-18.72</v>
      </c>
    </row>
    <row r="2028" spans="2:12" ht="15">
      <c r="B2028" s="769" t="s">
        <v>550</v>
      </c>
      <c r="C2028" s="20">
        <v>276.29000000000002</v>
      </c>
      <c r="D2028" s="20"/>
      <c r="E2028" s="19"/>
      <c r="F2028" s="20"/>
      <c r="G2028" s="20"/>
      <c r="H2028" s="19"/>
      <c r="I2028" s="20"/>
      <c r="J2028" s="19"/>
      <c r="K2028" s="17"/>
      <c r="L2028" s="649">
        <f t="shared" ref="L2028" si="155">PRODUCT(C2028:K2028)</f>
        <v>276.29000000000002</v>
      </c>
    </row>
    <row r="2029" spans="2:12" ht="15">
      <c r="B2029" s="769"/>
      <c r="C2029" s="20"/>
      <c r="D2029" s="20"/>
      <c r="E2029" s="19"/>
      <c r="F2029" s="20"/>
      <c r="G2029" s="20"/>
      <c r="H2029" s="19"/>
      <c r="I2029" s="20"/>
      <c r="J2029" s="19"/>
      <c r="K2029" s="17"/>
      <c r="L2029" s="649"/>
    </row>
    <row r="2030" spans="2:12" ht="15">
      <c r="B2030" s="650"/>
      <c r="C2030" s="20"/>
      <c r="D2030" s="20"/>
      <c r="E2030" s="19"/>
      <c r="F2030" s="20"/>
      <c r="G2030" s="20"/>
      <c r="H2030" s="19"/>
      <c r="I2030" s="20"/>
      <c r="J2030" s="19"/>
      <c r="K2030" s="17"/>
      <c r="L2030" s="649"/>
    </row>
    <row r="2031" spans="2:12" ht="15">
      <c r="B2031" s="648" t="s">
        <v>528</v>
      </c>
      <c r="C2031" s="20"/>
      <c r="D2031" s="20"/>
      <c r="E2031" s="19">
        <v>3</v>
      </c>
      <c r="F2031" s="20">
        <v>14</v>
      </c>
      <c r="G2031" s="20"/>
      <c r="H2031" s="19"/>
      <c r="I2031" s="20"/>
      <c r="J2031" s="19">
        <v>2</v>
      </c>
      <c r="K2031" s="17"/>
      <c r="L2031" s="649">
        <f>PRODUCT(C2031:K2031)</f>
        <v>84</v>
      </c>
    </row>
    <row r="2032" spans="2:12" ht="15">
      <c r="B2032" s="648" t="s">
        <v>529</v>
      </c>
      <c r="C2032" s="20"/>
      <c r="D2032" s="20"/>
      <c r="E2032" s="19">
        <v>3</v>
      </c>
      <c r="F2032" s="20">
        <v>14</v>
      </c>
      <c r="G2032" s="20"/>
      <c r="H2032" s="19"/>
      <c r="I2032" s="20"/>
      <c r="J2032" s="19"/>
      <c r="K2032" s="17"/>
      <c r="L2032" s="649">
        <f t="shared" ref="L2032:L2034" si="156">PRODUCT(C2032:K2032)</f>
        <v>42</v>
      </c>
    </row>
    <row r="2033" spans="2:12" ht="15">
      <c r="B2033" s="648" t="s">
        <v>530</v>
      </c>
      <c r="C2033" s="20"/>
      <c r="D2033" s="20"/>
      <c r="E2033" s="19">
        <v>3</v>
      </c>
      <c r="F2033" s="20">
        <v>14</v>
      </c>
      <c r="G2033" s="20"/>
      <c r="H2033" s="19"/>
      <c r="I2033" s="20"/>
      <c r="J2033" s="19"/>
      <c r="K2033" s="17"/>
      <c r="L2033" s="649">
        <f t="shared" si="156"/>
        <v>42</v>
      </c>
    </row>
    <row r="2034" spans="2:12" ht="15">
      <c r="B2034" s="648" t="s">
        <v>526</v>
      </c>
      <c r="C2034" s="20">
        <v>-6</v>
      </c>
      <c r="D2034" s="20"/>
      <c r="E2034" s="19"/>
      <c r="F2034" s="20"/>
      <c r="G2034" s="20"/>
      <c r="H2034" s="19"/>
      <c r="I2034" s="20"/>
      <c r="J2034" s="19">
        <v>4</v>
      </c>
      <c r="K2034" s="17"/>
      <c r="L2034" s="649">
        <f t="shared" si="156"/>
        <v>-24</v>
      </c>
    </row>
    <row r="2035" spans="2:12" ht="15">
      <c r="B2035" s="648"/>
      <c r="C2035" s="20"/>
      <c r="D2035" s="20"/>
      <c r="E2035" s="19"/>
      <c r="F2035" s="20"/>
      <c r="G2035" s="20"/>
      <c r="H2035" s="19"/>
      <c r="I2035" s="20"/>
      <c r="J2035" s="19"/>
      <c r="K2035" s="17"/>
      <c r="L2035" s="649"/>
    </row>
    <row r="2036" spans="2:12" ht="30">
      <c r="B2036" s="648" t="s">
        <v>551</v>
      </c>
      <c r="C2036" s="20"/>
      <c r="D2036" s="20"/>
      <c r="E2036" s="19">
        <v>0.5</v>
      </c>
      <c r="F2036" s="20">
        <v>392</v>
      </c>
      <c r="G2036" s="20"/>
      <c r="H2036" s="19"/>
      <c r="I2036" s="20"/>
      <c r="J2036" s="19">
        <v>2</v>
      </c>
      <c r="K2036" s="17"/>
      <c r="L2036" s="649">
        <f>PRODUCT(C2036:K2036)</f>
        <v>392</v>
      </c>
    </row>
    <row r="2037" spans="2:12" ht="15">
      <c r="B2037" s="648"/>
      <c r="C2037" s="20"/>
      <c r="D2037" s="20"/>
      <c r="E2037" s="19"/>
      <c r="F2037" s="20"/>
      <c r="G2037" s="20"/>
      <c r="H2037" s="19"/>
      <c r="I2037" s="20"/>
      <c r="J2037" s="19"/>
      <c r="K2037" s="17"/>
      <c r="L2037" s="649"/>
    </row>
    <row r="2038" spans="2:12" ht="15">
      <c r="B2038" s="648" t="s">
        <v>940</v>
      </c>
      <c r="C2038" s="20"/>
      <c r="D2038" s="20"/>
      <c r="E2038" s="19">
        <v>0.81</v>
      </c>
      <c r="F2038" s="20">
        <v>360.8</v>
      </c>
      <c r="G2038" s="20"/>
      <c r="H2038" s="19"/>
      <c r="I2038" s="20"/>
      <c r="J2038" s="19">
        <v>1</v>
      </c>
      <c r="K2038" s="17"/>
      <c r="L2038" s="649">
        <f>PRODUCT(C2038:K2038)</f>
        <v>292.24800000000005</v>
      </c>
    </row>
    <row r="2039" spans="2:12" ht="15">
      <c r="B2039" s="648" t="s">
        <v>941</v>
      </c>
      <c r="C2039" s="20"/>
      <c r="D2039" s="20"/>
      <c r="E2039" s="19">
        <v>0.81</v>
      </c>
      <c r="F2039" s="20">
        <v>247</v>
      </c>
      <c r="G2039" s="20"/>
      <c r="H2039" s="19"/>
      <c r="I2039" s="20"/>
      <c r="J2039" s="19">
        <v>1</v>
      </c>
      <c r="K2039" s="17"/>
      <c r="L2039" s="649">
        <f>PRODUCT(C2039:K2039)</f>
        <v>200.07000000000002</v>
      </c>
    </row>
    <row r="2040" spans="2:12" ht="15">
      <c r="B2040" s="648" t="s">
        <v>782</v>
      </c>
      <c r="C2040" s="20"/>
      <c r="D2040" s="20"/>
      <c r="E2040" s="19">
        <v>0.81</v>
      </c>
      <c r="F2040" s="20">
        <v>109</v>
      </c>
      <c r="G2040" s="20"/>
      <c r="H2040" s="19"/>
      <c r="I2040" s="20"/>
      <c r="J2040" s="19">
        <v>1</v>
      </c>
      <c r="K2040" s="17"/>
      <c r="L2040" s="649">
        <f t="shared" ref="L2040" si="157">PRODUCT(C2040:K2040)</f>
        <v>88.29</v>
      </c>
    </row>
    <row r="2041" spans="2:12" ht="15">
      <c r="B2041" s="648"/>
      <c r="C2041" s="20"/>
      <c r="D2041" s="20"/>
      <c r="E2041" s="19"/>
      <c r="F2041" s="20"/>
      <c r="G2041" s="20"/>
      <c r="H2041" s="19"/>
      <c r="I2041" s="20"/>
      <c r="J2041" s="19"/>
      <c r="K2041" s="17"/>
      <c r="L2041" s="649"/>
    </row>
    <row r="2042" spans="2:12" ht="15.75">
      <c r="B2042" s="756"/>
      <c r="C2042" s="757"/>
      <c r="D2042" s="757"/>
      <c r="E2042" s="757"/>
      <c r="F2042" s="757"/>
      <c r="G2042" s="757"/>
      <c r="H2042" s="757"/>
      <c r="I2042" s="757"/>
      <c r="J2042" s="757"/>
      <c r="K2042" s="757"/>
      <c r="L2042" s="758"/>
    </row>
    <row r="2043" spans="2:12" ht="15.75">
      <c r="B2043" s="756"/>
      <c r="C2043" s="757"/>
      <c r="D2043" s="757"/>
      <c r="E2043" s="757"/>
      <c r="F2043" s="757"/>
      <c r="G2043" s="757"/>
      <c r="H2043" s="757"/>
      <c r="I2043" s="757"/>
      <c r="J2043" s="757"/>
      <c r="K2043" s="757"/>
      <c r="L2043" s="758"/>
    </row>
    <row r="2044" spans="2:12" ht="15.75">
      <c r="B2044" s="638" t="s">
        <v>398</v>
      </c>
      <c r="C2044" s="8">
        <v>9</v>
      </c>
      <c r="D2044" s="9" t="s">
        <v>1032</v>
      </c>
      <c r="E2044" s="9"/>
      <c r="F2044" s="9"/>
      <c r="G2044" s="9"/>
      <c r="H2044" s="9"/>
      <c r="I2044" s="9"/>
      <c r="J2044" s="9"/>
      <c r="K2044" s="10"/>
      <c r="L2044" s="639"/>
    </row>
    <row r="2045" spans="2:12" ht="15">
      <c r="B2045" s="640"/>
      <c r="C2045" s="579"/>
      <c r="D2045" s="579"/>
      <c r="E2045" s="579"/>
      <c r="F2045" s="579"/>
      <c r="G2045" s="579"/>
      <c r="H2045" s="579"/>
      <c r="I2045" s="579"/>
      <c r="J2045" s="579"/>
      <c r="K2045" s="579"/>
      <c r="L2045" s="641"/>
    </row>
    <row r="2046" spans="2:12" ht="30" customHeight="1">
      <c r="B2046" s="642" t="s">
        <v>399</v>
      </c>
      <c r="C2046" s="8">
        <f>+'PROPUESTA ECONOMICA(Proponente)'!C179</f>
        <v>9.11</v>
      </c>
      <c r="D2046" s="12" t="str">
        <f>+VLOOKUP('MEMORIAS DE CANTIDADES'!C2046,'PROPUESTA ECONOMICA(Proponente)'!$C$21:$H$310,5,FALSE)</f>
        <v>Suministro e instalación de piso en estoperol para Dugouts.</v>
      </c>
      <c r="E2046" s="13"/>
      <c r="F2046" s="12"/>
      <c r="G2046" s="12"/>
      <c r="H2046" s="12"/>
      <c r="I2046" s="11" t="s">
        <v>400</v>
      </c>
      <c r="J2046" s="12" t="str">
        <f>+VLOOKUP('MEMORIAS DE CANTIDADES'!C2046,'PROPUESTA ECONOMICA(Proponente)'!$C$21:$H$310,6,FALSE)</f>
        <v>m2</v>
      </c>
      <c r="K2046" s="11" t="s">
        <v>401</v>
      </c>
      <c r="L2046" s="643">
        <f>SUM(L2047:L2055)</f>
        <v>96</v>
      </c>
    </row>
    <row r="2047" spans="2:12" ht="15">
      <c r="B2047" s="644"/>
      <c r="C2047" s="16"/>
      <c r="D2047" s="15"/>
      <c r="E2047" s="15"/>
      <c r="F2047" s="15"/>
      <c r="G2047" s="15"/>
      <c r="H2047" s="15"/>
      <c r="I2047" s="15"/>
      <c r="J2047" s="15"/>
      <c r="K2047" s="17"/>
      <c r="L2047" s="645"/>
    </row>
    <row r="2048" spans="2:12" ht="47.25">
      <c r="B2048" s="646" t="s">
        <v>402</v>
      </c>
      <c r="C2048" s="18" t="s">
        <v>403</v>
      </c>
      <c r="D2048" s="18" t="s">
        <v>404</v>
      </c>
      <c r="E2048" s="18" t="s">
        <v>405</v>
      </c>
      <c r="F2048" s="18" t="s">
        <v>406</v>
      </c>
      <c r="G2048" s="18" t="s">
        <v>407</v>
      </c>
      <c r="H2048" s="5" t="s">
        <v>408</v>
      </c>
      <c r="I2048" s="18" t="s">
        <v>409</v>
      </c>
      <c r="J2048" s="5" t="s">
        <v>410</v>
      </c>
      <c r="K2048" s="5" t="s">
        <v>411</v>
      </c>
      <c r="L2048" s="647" t="s">
        <v>412</v>
      </c>
    </row>
    <row r="2049" spans="2:12" ht="15.75">
      <c r="B2049" s="759" t="s">
        <v>659</v>
      </c>
      <c r="C2049" s="19"/>
      <c r="D2049" s="19"/>
      <c r="E2049" s="19"/>
      <c r="F2049" s="19"/>
      <c r="G2049" s="20"/>
      <c r="H2049" s="68"/>
      <c r="I2049" s="17"/>
      <c r="J2049" s="28"/>
      <c r="K2049" s="17"/>
      <c r="L2049" s="649"/>
    </row>
    <row r="2050" spans="2:12" ht="15">
      <c r="B2050" s="769" t="s">
        <v>831</v>
      </c>
      <c r="C2050" s="19">
        <v>48</v>
      </c>
      <c r="D2050" s="19"/>
      <c r="E2050" s="19"/>
      <c r="F2050" s="19"/>
      <c r="G2050" s="20"/>
      <c r="H2050" s="68"/>
      <c r="I2050" s="17"/>
      <c r="J2050" s="69"/>
      <c r="K2050" s="17"/>
      <c r="L2050" s="649">
        <f>PRODUCT(C2050:K2050)</f>
        <v>48</v>
      </c>
    </row>
    <row r="2051" spans="2:12" ht="15">
      <c r="B2051" s="769" t="s">
        <v>832</v>
      </c>
      <c r="C2051" s="19">
        <v>48</v>
      </c>
      <c r="D2051" s="20"/>
      <c r="E2051" s="19"/>
      <c r="F2051" s="20"/>
      <c r="G2051" s="20"/>
      <c r="H2051" s="20"/>
      <c r="I2051" s="20"/>
      <c r="J2051" s="69"/>
      <c r="K2051" s="17"/>
      <c r="L2051" s="649">
        <f>PRODUCT(C2051:K2051)</f>
        <v>48</v>
      </c>
    </row>
    <row r="2052" spans="2:12" ht="15">
      <c r="B2052" s="769"/>
      <c r="C2052" s="20"/>
      <c r="D2052" s="20"/>
      <c r="E2052" s="19"/>
      <c r="F2052" s="20"/>
      <c r="G2052" s="20"/>
      <c r="H2052" s="19"/>
      <c r="I2052" s="20"/>
      <c r="J2052" s="19"/>
      <c r="K2052" s="17"/>
      <c r="L2052" s="649"/>
    </row>
    <row r="2053" spans="2:12" ht="15">
      <c r="B2053" s="769"/>
      <c r="C2053" s="20"/>
      <c r="D2053" s="20"/>
      <c r="E2053" s="19"/>
      <c r="F2053" s="20"/>
      <c r="G2053" s="20"/>
      <c r="H2053" s="19"/>
      <c r="I2053" s="20"/>
      <c r="J2053" s="19"/>
      <c r="K2053" s="17"/>
      <c r="L2053" s="649"/>
    </row>
    <row r="2054" spans="2:12" ht="15">
      <c r="B2054" s="769"/>
      <c r="C2054" s="20"/>
      <c r="D2054" s="20"/>
      <c r="E2054" s="19"/>
      <c r="F2054" s="20"/>
      <c r="G2054" s="20"/>
      <c r="H2054" s="19"/>
      <c r="I2054" s="20"/>
      <c r="J2054" s="19"/>
      <c r="K2054" s="17"/>
      <c r="L2054" s="649"/>
    </row>
    <row r="2055" spans="2:12" ht="15">
      <c r="B2055" s="769"/>
      <c r="C2055" s="20"/>
      <c r="D2055" s="20"/>
      <c r="E2055" s="19"/>
      <c r="F2055" s="20"/>
      <c r="G2055" s="20"/>
      <c r="H2055" s="19"/>
      <c r="I2055" s="20"/>
      <c r="J2055" s="19"/>
      <c r="K2055" s="17"/>
      <c r="L2055" s="649"/>
    </row>
    <row r="2056" spans="2:12" ht="15.75">
      <c r="B2056" s="1002"/>
      <c r="C2056" s="1003"/>
      <c r="D2056" s="1003"/>
      <c r="E2056" s="1003"/>
      <c r="F2056" s="1003"/>
      <c r="G2056" s="1003"/>
      <c r="H2056" s="1003"/>
      <c r="I2056" s="1003"/>
      <c r="J2056" s="1003"/>
      <c r="K2056" s="1003"/>
      <c r="L2056" s="1004"/>
    </row>
    <row r="2057" spans="2:12" ht="15.75">
      <c r="B2057" s="756"/>
      <c r="C2057" s="757"/>
      <c r="D2057" s="757"/>
      <c r="E2057" s="757"/>
      <c r="F2057" s="757"/>
      <c r="G2057" s="757"/>
      <c r="H2057" s="757"/>
      <c r="I2057" s="757"/>
      <c r="J2057" s="757"/>
      <c r="K2057" s="757"/>
      <c r="L2057" s="758"/>
    </row>
    <row r="2058" spans="2:12" ht="15.75">
      <c r="B2058" s="756"/>
      <c r="C2058" s="757"/>
      <c r="D2058" s="757"/>
      <c r="E2058" s="757"/>
      <c r="F2058" s="757"/>
      <c r="G2058" s="757"/>
      <c r="H2058" s="757"/>
      <c r="I2058" s="757"/>
      <c r="J2058" s="757"/>
      <c r="K2058" s="757"/>
      <c r="L2058" s="758"/>
    </row>
    <row r="2059" spans="2:12" ht="15.75">
      <c r="B2059" s="638" t="s">
        <v>398</v>
      </c>
      <c r="C2059" s="8">
        <v>9</v>
      </c>
      <c r="D2059" s="9" t="s">
        <v>1032</v>
      </c>
      <c r="E2059" s="9"/>
      <c r="F2059" s="9"/>
      <c r="G2059" s="9"/>
      <c r="H2059" s="9"/>
      <c r="I2059" s="9"/>
      <c r="J2059" s="9"/>
      <c r="K2059" s="10"/>
      <c r="L2059" s="639"/>
    </row>
    <row r="2060" spans="2:12" ht="15">
      <c r="B2060" s="640"/>
      <c r="C2060" s="579"/>
      <c r="D2060" s="579"/>
      <c r="E2060" s="579"/>
      <c r="F2060" s="579"/>
      <c r="G2060" s="579"/>
      <c r="H2060" s="579"/>
      <c r="I2060" s="579"/>
      <c r="J2060" s="579"/>
      <c r="K2060" s="579"/>
      <c r="L2060" s="641"/>
    </row>
    <row r="2061" spans="2:12" ht="31.5">
      <c r="B2061" s="642" t="s">
        <v>399</v>
      </c>
      <c r="C2061" s="8">
        <f>+'PROPUESTA ECONOMICA(Proponente)'!C180</f>
        <v>9.1199999999999992</v>
      </c>
      <c r="D2061" s="12" t="str">
        <f>+VLOOKUP('MEMORIAS DE CANTIDADES'!C2061,'PROPUESTA ECONOMICA(Proponente)'!$C$21:$H$310,5,FALSE)</f>
        <v xml:space="preserve">Suministro e instalación de Media Caña en Granito Pulido 10cm </v>
      </c>
      <c r="E2061" s="13"/>
      <c r="F2061" s="12"/>
      <c r="G2061" s="12"/>
      <c r="H2061" s="12"/>
      <c r="I2061" s="11" t="s">
        <v>400</v>
      </c>
      <c r="J2061" s="12" t="str">
        <f>+VLOOKUP('MEMORIAS DE CANTIDADES'!C2061,'PROPUESTA ECONOMICA(Proponente)'!$C$21:$H$310,6,FALSE)</f>
        <v>ml</v>
      </c>
      <c r="K2061" s="11" t="s">
        <v>401</v>
      </c>
      <c r="L2061" s="643">
        <f>SUM(L2062:L2101)</f>
        <v>710.14</v>
      </c>
    </row>
    <row r="2062" spans="2:12" ht="15">
      <c r="B2062" s="644"/>
      <c r="C2062" s="16"/>
      <c r="D2062" s="15"/>
      <c r="E2062" s="15"/>
      <c r="F2062" s="15"/>
      <c r="G2062" s="15"/>
      <c r="H2062" s="15"/>
      <c r="I2062" s="15"/>
      <c r="J2062" s="15"/>
      <c r="K2062" s="17"/>
      <c r="L2062" s="645"/>
    </row>
    <row r="2063" spans="2:12" ht="47.25">
      <c r="B2063" s="646" t="s">
        <v>402</v>
      </c>
      <c r="C2063" s="18" t="s">
        <v>403</v>
      </c>
      <c r="D2063" s="18" t="s">
        <v>404</v>
      </c>
      <c r="E2063" s="18" t="s">
        <v>405</v>
      </c>
      <c r="F2063" s="18" t="s">
        <v>406</v>
      </c>
      <c r="G2063" s="18" t="s">
        <v>407</v>
      </c>
      <c r="H2063" s="5" t="s">
        <v>408</v>
      </c>
      <c r="I2063" s="18" t="s">
        <v>409</v>
      </c>
      <c r="J2063" s="5" t="s">
        <v>410</v>
      </c>
      <c r="K2063" s="5" t="s">
        <v>411</v>
      </c>
      <c r="L2063" s="647" t="s">
        <v>412</v>
      </c>
    </row>
    <row r="2064" spans="2:12" ht="15.75">
      <c r="B2064" s="759" t="s">
        <v>598</v>
      </c>
      <c r="C2064" s="19"/>
      <c r="D2064" s="19"/>
      <c r="E2064" s="19"/>
      <c r="F2064" s="19"/>
      <c r="G2064" s="20"/>
      <c r="H2064" s="68"/>
      <c r="I2064" s="17"/>
      <c r="J2064" s="28"/>
      <c r="K2064" s="17"/>
      <c r="L2064" s="649"/>
    </row>
    <row r="2065" spans="2:12" ht="15">
      <c r="B2065" s="769" t="s">
        <v>815</v>
      </c>
      <c r="C2065" s="20"/>
      <c r="D2065" s="19"/>
      <c r="E2065" s="19"/>
      <c r="F2065" s="20">
        <v>20.6</v>
      </c>
      <c r="G2065" s="20"/>
      <c r="H2065" s="68"/>
      <c r="I2065" s="17"/>
      <c r="J2065" s="69"/>
      <c r="K2065" s="17"/>
      <c r="L2065" s="649">
        <f t="shared" ref="L2065:L2073" si="158">PRODUCT(C2065:K2065)</f>
        <v>20.6</v>
      </c>
    </row>
    <row r="2066" spans="2:12" ht="15">
      <c r="B2066" s="769" t="s">
        <v>816</v>
      </c>
      <c r="C2066" s="20"/>
      <c r="D2066" s="20"/>
      <c r="E2066" s="19"/>
      <c r="F2066" s="20">
        <v>51.3</v>
      </c>
      <c r="G2066" s="20"/>
      <c r="H2066" s="20"/>
      <c r="I2066" s="20"/>
      <c r="J2066" s="69"/>
      <c r="K2066" s="17"/>
      <c r="L2066" s="649">
        <f t="shared" si="158"/>
        <v>51.3</v>
      </c>
    </row>
    <row r="2067" spans="2:12" ht="15">
      <c r="B2067" s="769" t="s">
        <v>817</v>
      </c>
      <c r="C2067" s="20"/>
      <c r="D2067" s="20"/>
      <c r="E2067" s="19"/>
      <c r="F2067" s="20">
        <v>34.6</v>
      </c>
      <c r="G2067" s="20"/>
      <c r="H2067" s="19"/>
      <c r="I2067" s="20"/>
      <c r="J2067" s="19"/>
      <c r="K2067" s="17"/>
      <c r="L2067" s="649">
        <f t="shared" si="158"/>
        <v>34.6</v>
      </c>
    </row>
    <row r="2068" spans="2:12" ht="15">
      <c r="B2068" s="769" t="s">
        <v>818</v>
      </c>
      <c r="C2068" s="20"/>
      <c r="D2068" s="20"/>
      <c r="E2068" s="19"/>
      <c r="F2068" s="20">
        <v>29.8</v>
      </c>
      <c r="G2068" s="20"/>
      <c r="H2068" s="19"/>
      <c r="I2068" s="20"/>
      <c r="J2068" s="19"/>
      <c r="K2068" s="17"/>
      <c r="L2068" s="649">
        <f t="shared" si="158"/>
        <v>29.8</v>
      </c>
    </row>
    <row r="2069" spans="2:12" ht="15">
      <c r="B2069" s="769" t="s">
        <v>819</v>
      </c>
      <c r="C2069" s="20"/>
      <c r="D2069" s="20"/>
      <c r="E2069" s="19"/>
      <c r="F2069" s="20">
        <v>33</v>
      </c>
      <c r="G2069" s="20"/>
      <c r="H2069" s="19"/>
      <c r="I2069" s="20"/>
      <c r="J2069" s="19"/>
      <c r="K2069" s="17"/>
      <c r="L2069" s="649">
        <f t="shared" si="158"/>
        <v>33</v>
      </c>
    </row>
    <row r="2070" spans="2:12" ht="15">
      <c r="B2070" s="769" t="s">
        <v>820</v>
      </c>
      <c r="C2070" s="20"/>
      <c r="D2070" s="20"/>
      <c r="E2070" s="19"/>
      <c r="F2070" s="20">
        <v>51.3</v>
      </c>
      <c r="G2070" s="20"/>
      <c r="H2070" s="19"/>
      <c r="I2070" s="20"/>
      <c r="J2070" s="19"/>
      <c r="K2070" s="17"/>
      <c r="L2070" s="649">
        <f t="shared" si="158"/>
        <v>51.3</v>
      </c>
    </row>
    <row r="2071" spans="2:12" ht="15">
      <c r="B2071" s="769" t="s">
        <v>821</v>
      </c>
      <c r="C2071" s="20"/>
      <c r="D2071" s="20"/>
      <c r="E2071" s="19"/>
      <c r="F2071" s="20">
        <v>32</v>
      </c>
      <c r="G2071" s="20"/>
      <c r="H2071" s="19"/>
      <c r="I2071" s="20"/>
      <c r="J2071" s="19"/>
      <c r="K2071" s="17"/>
      <c r="L2071" s="649">
        <f t="shared" si="158"/>
        <v>32</v>
      </c>
    </row>
    <row r="2072" spans="2:12" ht="15">
      <c r="B2072" s="769" t="s">
        <v>824</v>
      </c>
      <c r="C2072" s="20"/>
      <c r="D2072" s="20"/>
      <c r="E2072" s="19"/>
      <c r="F2072" s="20">
        <v>26</v>
      </c>
      <c r="G2072" s="20"/>
      <c r="H2072" s="19"/>
      <c r="I2072" s="20"/>
      <c r="J2072" s="19"/>
      <c r="K2072" s="17"/>
      <c r="L2072" s="649">
        <f t="shared" si="158"/>
        <v>26</v>
      </c>
    </row>
    <row r="2073" spans="2:12" ht="15">
      <c r="B2073" s="769" t="s">
        <v>526</v>
      </c>
      <c r="C2073" s="20">
        <f>-6-6.45*2</f>
        <v>-18.899999999999999</v>
      </c>
      <c r="D2073" s="20"/>
      <c r="E2073" s="19"/>
      <c r="F2073" s="20"/>
      <c r="G2073" s="20"/>
      <c r="H2073" s="19"/>
      <c r="I2073" s="20"/>
      <c r="J2073" s="19"/>
      <c r="K2073" s="17"/>
      <c r="L2073" s="649">
        <f t="shared" si="158"/>
        <v>-18.899999999999999</v>
      </c>
    </row>
    <row r="2074" spans="2:12" ht="15">
      <c r="B2074" s="655"/>
      <c r="C2074" s="20"/>
      <c r="D2074" s="20"/>
      <c r="E2074" s="20"/>
      <c r="F2074" s="20"/>
      <c r="G2074" s="20"/>
      <c r="H2074" s="19"/>
      <c r="I2074" s="20"/>
      <c r="J2074" s="19"/>
      <c r="K2074" s="17"/>
      <c r="L2074" s="649"/>
    </row>
    <row r="2075" spans="2:12" ht="15.75">
      <c r="B2075" s="759" t="s">
        <v>659</v>
      </c>
      <c r="C2075" s="19"/>
      <c r="D2075" s="19"/>
      <c r="E2075" s="19"/>
      <c r="F2075" s="20"/>
      <c r="G2075" s="20"/>
      <c r="H2075" s="19"/>
      <c r="I2075" s="20"/>
      <c r="J2075" s="19"/>
      <c r="K2075" s="17"/>
      <c r="L2075" s="649"/>
    </row>
    <row r="2076" spans="2:12" ht="15">
      <c r="B2076" s="769" t="s">
        <v>817</v>
      </c>
      <c r="C2076" s="20"/>
      <c r="D2076" s="20"/>
      <c r="E2076" s="19"/>
      <c r="F2076" s="20">
        <v>33.4</v>
      </c>
      <c r="G2076" s="20"/>
      <c r="H2076" s="19"/>
      <c r="I2076" s="20">
        <v>2</v>
      </c>
      <c r="J2076" s="19"/>
      <c r="K2076" s="17"/>
      <c r="L2076" s="649">
        <f t="shared" ref="L2076:L2078" si="159">PRODUCT(C2076:K2076)</f>
        <v>66.8</v>
      </c>
    </row>
    <row r="2077" spans="2:12" ht="15">
      <c r="B2077" s="769" t="s">
        <v>819</v>
      </c>
      <c r="C2077" s="20"/>
      <c r="D2077" s="20"/>
      <c r="E2077" s="19"/>
      <c r="F2077" s="20">
        <v>33.4</v>
      </c>
      <c r="G2077" s="20"/>
      <c r="H2077" s="19"/>
      <c r="I2077" s="20">
        <v>2</v>
      </c>
      <c r="J2077" s="19"/>
      <c r="K2077" s="17"/>
      <c r="L2077" s="649">
        <f t="shared" si="159"/>
        <v>66.8</v>
      </c>
    </row>
    <row r="2078" spans="2:12" ht="15">
      <c r="B2078" s="769" t="s">
        <v>824</v>
      </c>
      <c r="C2078" s="20"/>
      <c r="D2078" s="20"/>
      <c r="E2078" s="19"/>
      <c r="F2078" s="20">
        <v>24</v>
      </c>
      <c r="G2078" s="20"/>
      <c r="H2078" s="19"/>
      <c r="I2078" s="20">
        <v>2</v>
      </c>
      <c r="J2078" s="19"/>
      <c r="K2078" s="17"/>
      <c r="L2078" s="649">
        <f t="shared" si="159"/>
        <v>48</v>
      </c>
    </row>
    <row r="2079" spans="2:12" ht="15">
      <c r="B2079" s="769"/>
      <c r="C2079" s="20"/>
      <c r="D2079" s="20"/>
      <c r="E2079" s="19"/>
      <c r="F2079" s="20"/>
      <c r="G2079" s="20"/>
      <c r="H2079" s="19"/>
      <c r="I2079" s="20"/>
      <c r="J2079" s="19"/>
      <c r="K2079" s="17"/>
      <c r="L2079" s="649"/>
    </row>
    <row r="2080" spans="2:12" ht="15.75">
      <c r="B2080" s="770" t="s">
        <v>594</v>
      </c>
      <c r="C2080" s="20"/>
      <c r="D2080" s="20"/>
      <c r="E2080" s="19"/>
      <c r="F2080" s="20"/>
      <c r="G2080" s="20"/>
      <c r="H2080" s="19"/>
      <c r="I2080" s="20"/>
      <c r="J2080" s="19"/>
      <c r="K2080" s="17"/>
      <c r="L2080" s="649"/>
    </row>
    <row r="2081" spans="2:12" ht="15">
      <c r="B2081" s="769" t="s">
        <v>816</v>
      </c>
      <c r="C2081" s="20"/>
      <c r="D2081" s="20"/>
      <c r="E2081" s="19"/>
      <c r="F2081" s="20">
        <v>31.7</v>
      </c>
      <c r="G2081" s="20"/>
      <c r="H2081" s="19"/>
      <c r="I2081" s="20">
        <v>1</v>
      </c>
      <c r="J2081" s="19"/>
      <c r="K2081" s="17"/>
      <c r="L2081" s="649">
        <f t="shared" ref="L2081:L2083" si="160">PRODUCT(C2081:K2081)</f>
        <v>31.7</v>
      </c>
    </row>
    <row r="2082" spans="2:12" ht="15">
      <c r="B2082" s="769" t="s">
        <v>820</v>
      </c>
      <c r="C2082" s="20"/>
      <c r="D2082" s="20"/>
      <c r="E2082" s="19"/>
      <c r="F2082" s="20">
        <v>31.7</v>
      </c>
      <c r="G2082" s="20"/>
      <c r="H2082" s="19"/>
      <c r="I2082" s="20">
        <v>1</v>
      </c>
      <c r="J2082" s="19"/>
      <c r="K2082" s="17"/>
      <c r="L2082" s="649">
        <f t="shared" si="160"/>
        <v>31.7</v>
      </c>
    </row>
    <row r="2083" spans="2:12" ht="15">
      <c r="B2083" s="769" t="s">
        <v>825</v>
      </c>
      <c r="C2083" s="20"/>
      <c r="D2083" s="20"/>
      <c r="E2083" s="19"/>
      <c r="F2083" s="20">
        <v>16</v>
      </c>
      <c r="G2083" s="20"/>
      <c r="H2083" s="19"/>
      <c r="I2083" s="20">
        <v>2</v>
      </c>
      <c r="J2083" s="19"/>
      <c r="K2083" s="17"/>
      <c r="L2083" s="649">
        <f t="shared" si="160"/>
        <v>32</v>
      </c>
    </row>
    <row r="2084" spans="2:12" ht="15">
      <c r="B2084" s="655"/>
      <c r="C2084" s="20"/>
      <c r="D2084" s="20"/>
      <c r="E2084" s="19"/>
      <c r="F2084" s="20"/>
      <c r="G2084" s="20"/>
      <c r="H2084" s="19"/>
      <c r="I2084" s="20"/>
      <c r="J2084" s="19"/>
      <c r="K2084" s="17"/>
      <c r="L2084" s="649"/>
    </row>
    <row r="2085" spans="2:12" ht="15">
      <c r="B2085" s="769"/>
      <c r="C2085" s="20"/>
      <c r="D2085" s="20"/>
      <c r="E2085" s="19"/>
      <c r="F2085" s="20"/>
      <c r="G2085" s="20"/>
      <c r="H2085" s="19"/>
      <c r="I2085" s="20"/>
      <c r="J2085" s="19"/>
      <c r="K2085" s="17"/>
      <c r="L2085" s="649"/>
    </row>
    <row r="2086" spans="2:12" ht="15.75">
      <c r="B2086" s="770" t="s">
        <v>545</v>
      </c>
      <c r="C2086" s="20"/>
      <c r="D2086" s="20"/>
      <c r="E2086" s="19"/>
      <c r="F2086" s="20"/>
      <c r="G2086" s="20"/>
      <c r="H2086" s="19"/>
      <c r="I2086" s="20"/>
      <c r="J2086" s="19"/>
      <c r="K2086" s="17"/>
      <c r="L2086" s="649"/>
    </row>
    <row r="2087" spans="2:12" ht="15">
      <c r="B2087" s="769" t="s">
        <v>546</v>
      </c>
      <c r="C2087" s="20"/>
      <c r="D2087" s="20"/>
      <c r="E2087" s="19"/>
      <c r="F2087" s="20">
        <v>7.57</v>
      </c>
      <c r="G2087" s="20"/>
      <c r="H2087" s="19"/>
      <c r="I2087" s="20"/>
      <c r="J2087" s="19"/>
      <c r="K2087" s="17">
        <v>2</v>
      </c>
      <c r="L2087" s="649">
        <f t="shared" ref="L2087:L2088" si="161">PRODUCT(C2087:K2087)</f>
        <v>15.14</v>
      </c>
    </row>
    <row r="2088" spans="2:12" ht="15">
      <c r="B2088" s="650"/>
      <c r="C2088" s="20"/>
      <c r="D2088" s="20"/>
      <c r="E2088" s="19"/>
      <c r="F2088" s="20"/>
      <c r="G2088" s="20"/>
      <c r="H2088" s="19"/>
      <c r="I2088" s="20"/>
      <c r="J2088" s="19"/>
      <c r="K2088" s="17"/>
      <c r="L2088" s="649">
        <f t="shared" si="161"/>
        <v>0</v>
      </c>
    </row>
    <row r="2089" spans="2:12" ht="15.75">
      <c r="B2089" s="770" t="s">
        <v>545</v>
      </c>
      <c r="C2089" s="20"/>
      <c r="D2089" s="20"/>
      <c r="E2089" s="19"/>
      <c r="F2089" s="20"/>
      <c r="G2089" s="20"/>
      <c r="H2089" s="19"/>
      <c r="I2089" s="20"/>
      <c r="J2089" s="19"/>
      <c r="K2089" s="17"/>
      <c r="L2089" s="649"/>
    </row>
    <row r="2090" spans="2:12" ht="15">
      <c r="B2090" s="769" t="s">
        <v>438</v>
      </c>
      <c r="C2090" s="20"/>
      <c r="D2090" s="20"/>
      <c r="E2090" s="39"/>
      <c r="F2090" s="39"/>
      <c r="G2090" s="20"/>
      <c r="H2090" s="19"/>
      <c r="I2090" s="20"/>
      <c r="J2090" s="19"/>
      <c r="K2090" s="17"/>
      <c r="L2090" s="649"/>
    </row>
    <row r="2091" spans="2:12" ht="15">
      <c r="B2091" s="769" t="s">
        <v>549</v>
      </c>
      <c r="C2091" s="20"/>
      <c r="D2091" s="20"/>
      <c r="E2091" s="19"/>
      <c r="F2091" s="20">
        <v>8.5</v>
      </c>
      <c r="G2091" s="20"/>
      <c r="H2091" s="19"/>
      <c r="I2091" s="20"/>
      <c r="J2091" s="19"/>
      <c r="K2091" s="17">
        <v>3</v>
      </c>
      <c r="L2091" s="649">
        <f t="shared" ref="L2091:L2093" si="162">PRODUCT(C2091:K2091)</f>
        <v>25.5</v>
      </c>
    </row>
    <row r="2092" spans="2:12" ht="15">
      <c r="B2092" s="769" t="s">
        <v>535</v>
      </c>
      <c r="C2092" s="20"/>
      <c r="D2092" s="20"/>
      <c r="E2092" s="19"/>
      <c r="F2092" s="20">
        <v>16.8</v>
      </c>
      <c r="G2092" s="20"/>
      <c r="H2092" s="19"/>
      <c r="I2092" s="20"/>
      <c r="J2092" s="19"/>
      <c r="K2092" s="17">
        <v>3</v>
      </c>
      <c r="L2092" s="649">
        <f t="shared" si="162"/>
        <v>50.400000000000006</v>
      </c>
    </row>
    <row r="2093" spans="2:12" ht="15">
      <c r="B2093" s="769" t="s">
        <v>526</v>
      </c>
      <c r="C2093" s="20">
        <v>-4</v>
      </c>
      <c r="D2093" s="20"/>
      <c r="E2093" s="19"/>
      <c r="F2093" s="20"/>
      <c r="G2093" s="20"/>
      <c r="H2093" s="19"/>
      <c r="I2093" s="20"/>
      <c r="J2093" s="19"/>
      <c r="K2093" s="17">
        <v>3</v>
      </c>
      <c r="L2093" s="649">
        <f t="shared" si="162"/>
        <v>-12</v>
      </c>
    </row>
    <row r="2094" spans="2:12" ht="15">
      <c r="B2094" s="769" t="s">
        <v>526</v>
      </c>
      <c r="C2094" s="20"/>
      <c r="D2094" s="20"/>
      <c r="E2094" s="19"/>
      <c r="F2094" s="20">
        <v>2.4</v>
      </c>
      <c r="G2094" s="20"/>
      <c r="H2094" s="19"/>
      <c r="I2094" s="20"/>
      <c r="J2094" s="19">
        <v>2</v>
      </c>
      <c r="K2094" s="17">
        <v>3</v>
      </c>
      <c r="L2094" s="649">
        <f>PRODUCT(C2094:K2094)</f>
        <v>14.399999999999999</v>
      </c>
    </row>
    <row r="2095" spans="2:12" ht="15">
      <c r="B2095" s="769"/>
      <c r="C2095" s="20"/>
      <c r="D2095" s="20"/>
      <c r="E2095" s="19"/>
      <c r="F2095" s="20"/>
      <c r="G2095" s="20"/>
      <c r="H2095" s="19"/>
      <c r="I2095" s="20"/>
      <c r="J2095" s="19"/>
      <c r="K2095" s="17"/>
      <c r="L2095" s="649"/>
    </row>
    <row r="2096" spans="2:12" ht="15">
      <c r="B2096" s="648"/>
      <c r="C2096" s="20"/>
      <c r="D2096" s="20"/>
      <c r="E2096" s="19"/>
      <c r="F2096" s="20"/>
      <c r="G2096" s="20"/>
      <c r="H2096" s="19"/>
      <c r="I2096" s="20"/>
      <c r="J2096" s="19"/>
      <c r="K2096" s="17"/>
      <c r="L2096" s="649"/>
    </row>
    <row r="2097" spans="2:12" ht="15">
      <c r="B2097" s="648" t="s">
        <v>528</v>
      </c>
      <c r="C2097" s="20"/>
      <c r="D2097" s="20"/>
      <c r="E2097" s="19"/>
      <c r="F2097" s="20">
        <v>14</v>
      </c>
      <c r="G2097" s="20"/>
      <c r="H2097" s="19"/>
      <c r="I2097" s="20"/>
      <c r="J2097" s="19">
        <v>2</v>
      </c>
      <c r="K2097" s="17"/>
      <c r="L2097" s="649">
        <f>PRODUCT(C2097:K2097)</f>
        <v>28</v>
      </c>
    </row>
    <row r="2098" spans="2:12" ht="15">
      <c r="B2098" s="648" t="s">
        <v>529</v>
      </c>
      <c r="C2098" s="20"/>
      <c r="D2098" s="20"/>
      <c r="E2098" s="19"/>
      <c r="F2098" s="20">
        <v>14</v>
      </c>
      <c r="G2098" s="20"/>
      <c r="H2098" s="19"/>
      <c r="I2098" s="20"/>
      <c r="J2098" s="19"/>
      <c r="K2098" s="17"/>
      <c r="L2098" s="649">
        <f t="shared" ref="L2098:L2100" si="163">PRODUCT(C2098:K2098)</f>
        <v>14</v>
      </c>
    </row>
    <row r="2099" spans="2:12" ht="15">
      <c r="B2099" s="648" t="s">
        <v>530</v>
      </c>
      <c r="C2099" s="20"/>
      <c r="D2099" s="20"/>
      <c r="E2099" s="19"/>
      <c r="F2099" s="20">
        <v>14</v>
      </c>
      <c r="G2099" s="20"/>
      <c r="H2099" s="19"/>
      <c r="I2099" s="20"/>
      <c r="J2099" s="19"/>
      <c r="K2099" s="17"/>
      <c r="L2099" s="649">
        <f t="shared" si="163"/>
        <v>14</v>
      </c>
    </row>
    <row r="2100" spans="2:12" ht="15">
      <c r="B2100" s="648" t="s">
        <v>526</v>
      </c>
      <c r="C2100" s="20">
        <v>6</v>
      </c>
      <c r="D2100" s="20"/>
      <c r="E2100" s="19"/>
      <c r="F2100" s="20"/>
      <c r="G2100" s="20"/>
      <c r="H2100" s="19"/>
      <c r="I2100" s="20"/>
      <c r="J2100" s="19">
        <v>4</v>
      </c>
      <c r="K2100" s="17"/>
      <c r="L2100" s="649">
        <f t="shared" si="163"/>
        <v>24</v>
      </c>
    </row>
    <row r="2101" spans="2:12" ht="15.75">
      <c r="B2101" s="981"/>
      <c r="C2101" s="982"/>
      <c r="D2101" s="982"/>
      <c r="E2101" s="982"/>
      <c r="F2101" s="982"/>
      <c r="G2101" s="982"/>
      <c r="H2101" s="982"/>
      <c r="I2101" s="982"/>
      <c r="J2101" s="982"/>
      <c r="K2101" s="982"/>
      <c r="L2101" s="983"/>
    </row>
    <row r="2102" spans="2:12" ht="15.75">
      <c r="B2102" s="756"/>
      <c r="C2102" s="757"/>
      <c r="D2102" s="757"/>
      <c r="E2102" s="757"/>
      <c r="F2102" s="757"/>
      <c r="G2102" s="757"/>
      <c r="H2102" s="757"/>
      <c r="I2102" s="757"/>
      <c r="J2102" s="757"/>
      <c r="K2102" s="757"/>
      <c r="L2102" s="758"/>
    </row>
    <row r="2103" spans="2:12">
      <c r="B2103" s="651"/>
      <c r="L2103" s="652"/>
    </row>
    <row r="2104" spans="2:12" ht="15.6" customHeight="1">
      <c r="B2104" s="638" t="s">
        <v>398</v>
      </c>
      <c r="C2104" s="8" t="str">
        <f>+'PROPUESTA ECONOMICA(Proponente)'!$C$182</f>
        <v>10,0 CARPINTERIA METALICA (PUERTAS, VENTANAS Y BARANDAS)</v>
      </c>
      <c r="D2104" s="1008" t="s">
        <v>1033</v>
      </c>
      <c r="E2104" s="1009"/>
      <c r="F2104" s="1009"/>
      <c r="G2104" s="1009"/>
      <c r="H2104" s="1014"/>
      <c r="I2104" s="7"/>
      <c r="J2104" s="7"/>
      <c r="K2104" s="27"/>
      <c r="L2104" s="750"/>
    </row>
    <row r="2105" spans="2:12" ht="15">
      <c r="B2105" s="1005"/>
      <c r="C2105" s="1006"/>
      <c r="D2105" s="1006"/>
      <c r="E2105" s="1006"/>
      <c r="F2105" s="1006"/>
      <c r="G2105" s="1006"/>
      <c r="H2105" s="1006"/>
      <c r="I2105" s="1006"/>
      <c r="J2105" s="1006"/>
      <c r="K2105" s="1006"/>
      <c r="L2105" s="1007"/>
    </row>
    <row r="2106" spans="2:12" ht="46.9" customHeight="1">
      <c r="B2106" s="642" t="s">
        <v>399</v>
      </c>
      <c r="C2106" s="25">
        <f>+'PROPUESTA ECONOMICA(Proponente)'!C183</f>
        <v>10.1</v>
      </c>
      <c r="D2106" s="1015" t="str">
        <f>+VLOOKUP('MEMORIAS DE CANTIDADES'!C2106,'PROPUESTA ECONOMICA(Proponente)'!$C$21:$H$310,5,FALSE)</f>
        <v xml:space="preserve">Ventana Corrediza NC300 en perfilería de aluminio extruido 6063-T5 con acabado Polycron Anodic clear o similar, con vidrios en cristal incoloro de 6mm templado.. Sistema con 76 mm de profundidad del marco. </v>
      </c>
      <c r="E2106" s="1016"/>
      <c r="F2106" s="1016"/>
      <c r="G2106" s="1016"/>
      <c r="H2106" s="1017"/>
      <c r="I2106" s="11" t="s">
        <v>400</v>
      </c>
      <c r="J2106" s="11" t="str">
        <f>+VLOOKUP('MEMORIAS DE CANTIDADES'!C2106,'PROPUESTA ECONOMICA(Proponente)'!$C$21:$H$310,6,FALSE)</f>
        <v>M2</v>
      </c>
      <c r="K2106" s="11" t="s">
        <v>401</v>
      </c>
      <c r="L2106" s="643">
        <f>SUM(L2107:L2125)</f>
        <v>53.659999999999989</v>
      </c>
    </row>
    <row r="2107" spans="2:12" ht="15">
      <c r="B2107" s="644"/>
      <c r="C2107" s="16"/>
      <c r="D2107" s="15"/>
      <c r="E2107" s="15"/>
      <c r="F2107" s="15"/>
      <c r="G2107" s="15"/>
      <c r="H2107" s="15"/>
      <c r="I2107" s="15"/>
      <c r="J2107" s="15"/>
      <c r="K2107" s="17"/>
      <c r="L2107" s="645"/>
    </row>
    <row r="2108" spans="2:12" ht="47.25">
      <c r="B2108" s="646" t="s">
        <v>402</v>
      </c>
      <c r="C2108" s="18" t="s">
        <v>403</v>
      </c>
      <c r="D2108" s="18" t="s">
        <v>404</v>
      </c>
      <c r="E2108" s="18" t="s">
        <v>405</v>
      </c>
      <c r="F2108" s="18" t="s">
        <v>406</v>
      </c>
      <c r="G2108" s="18" t="s">
        <v>407</v>
      </c>
      <c r="H2108" s="5" t="s">
        <v>408</v>
      </c>
      <c r="I2108" s="18" t="s">
        <v>409</v>
      </c>
      <c r="J2108" s="5" t="s">
        <v>410</v>
      </c>
      <c r="K2108" s="5" t="s">
        <v>411</v>
      </c>
      <c r="L2108" s="647" t="s">
        <v>412</v>
      </c>
    </row>
    <row r="2109" spans="2:12" ht="15.75">
      <c r="B2109" s="759" t="s">
        <v>598</v>
      </c>
      <c r="C2109" s="19"/>
      <c r="D2109" s="19"/>
      <c r="E2109" s="19"/>
      <c r="F2109" s="19"/>
      <c r="G2109" s="20"/>
      <c r="H2109" s="68"/>
      <c r="I2109" s="17"/>
      <c r="J2109" s="28"/>
      <c r="K2109" s="17"/>
      <c r="L2109" s="649"/>
    </row>
    <row r="2110" spans="2:12" ht="15">
      <c r="B2110" s="648"/>
      <c r="C2110" s="20">
        <v>0.6</v>
      </c>
      <c r="D2110" s="19"/>
      <c r="E2110" s="19"/>
      <c r="F2110" s="19"/>
      <c r="G2110" s="20"/>
      <c r="H2110" s="68"/>
      <c r="I2110" s="17">
        <v>20</v>
      </c>
      <c r="J2110" s="19"/>
      <c r="K2110" s="17"/>
      <c r="L2110" s="649">
        <f>PRODUCT(C2110:K2110)</f>
        <v>12</v>
      </c>
    </row>
    <row r="2111" spans="2:12" ht="15">
      <c r="B2111" s="650"/>
      <c r="C2111" s="20">
        <v>1.56</v>
      </c>
      <c r="D2111" s="20"/>
      <c r="E2111" s="20">
        <v>3</v>
      </c>
      <c r="F2111" s="20"/>
      <c r="G2111" s="20"/>
      <c r="H2111" s="20"/>
      <c r="I2111" s="20">
        <v>1</v>
      </c>
      <c r="J2111" s="19"/>
      <c r="K2111" s="17"/>
      <c r="L2111" s="649">
        <f>PRODUCT(C2111:K2111)</f>
        <v>4.68</v>
      </c>
    </row>
    <row r="2112" spans="2:12" ht="15">
      <c r="B2112" s="650"/>
      <c r="C2112" s="20"/>
      <c r="D2112" s="20"/>
      <c r="E2112" s="20"/>
      <c r="F2112" s="20"/>
      <c r="G2112" s="20"/>
      <c r="H2112" s="20"/>
      <c r="I2112" s="20"/>
      <c r="J2112" s="19"/>
      <c r="K2112" s="17"/>
      <c r="L2112" s="649"/>
    </row>
    <row r="2113" spans="2:12" ht="15.75">
      <c r="B2113" s="760" t="s">
        <v>659</v>
      </c>
      <c r="C2113" s="20">
        <v>0.6</v>
      </c>
      <c r="D2113" s="20"/>
      <c r="E2113" s="20"/>
      <c r="F2113" s="20"/>
      <c r="G2113" s="20"/>
      <c r="H2113" s="20"/>
      <c r="I2113" s="20">
        <v>18</v>
      </c>
      <c r="J2113" s="19"/>
      <c r="K2113" s="17"/>
      <c r="L2113" s="649">
        <f>PRODUCT(C2113:K2113)</f>
        <v>10.799999999999999</v>
      </c>
    </row>
    <row r="2114" spans="2:12" ht="15">
      <c r="B2114" s="650"/>
      <c r="C2114" s="20"/>
      <c r="D2114" s="20"/>
      <c r="E2114" s="20"/>
      <c r="F2114" s="20"/>
      <c r="G2114" s="20"/>
      <c r="H2114" s="20"/>
      <c r="I2114" s="20"/>
      <c r="J2114" s="19"/>
      <c r="K2114" s="17"/>
      <c r="L2114" s="649"/>
    </row>
    <row r="2115" spans="2:12" ht="15.75">
      <c r="B2115" s="760" t="s">
        <v>594</v>
      </c>
      <c r="C2115" s="20">
        <v>0.6</v>
      </c>
      <c r="D2115" s="20"/>
      <c r="E2115" s="20"/>
      <c r="F2115" s="20"/>
      <c r="G2115" s="20"/>
      <c r="H2115" s="20"/>
      <c r="I2115" s="20">
        <v>8</v>
      </c>
      <c r="J2115" s="19">
        <v>2</v>
      </c>
      <c r="K2115" s="17"/>
      <c r="L2115" s="649">
        <f>PRODUCT(C2115:K2115)</f>
        <v>9.6</v>
      </c>
    </row>
    <row r="2116" spans="2:12" ht="15">
      <c r="B2116" s="650"/>
      <c r="C2116" s="20"/>
      <c r="D2116" s="20"/>
      <c r="E2116" s="20"/>
      <c r="F2116" s="20"/>
      <c r="G2116" s="20"/>
      <c r="H2116" s="20"/>
      <c r="I2116" s="20"/>
      <c r="J2116" s="19"/>
      <c r="K2116" s="17"/>
      <c r="L2116" s="649"/>
    </row>
    <row r="2117" spans="2:12" ht="15">
      <c r="B2117" s="650"/>
      <c r="C2117" s="20"/>
      <c r="D2117" s="20"/>
      <c r="E2117" s="20"/>
      <c r="F2117" s="20"/>
      <c r="G2117" s="20"/>
      <c r="H2117" s="20"/>
      <c r="I2117" s="20"/>
      <c r="J2117" s="19"/>
      <c r="K2117" s="17"/>
      <c r="L2117" s="649"/>
    </row>
    <row r="2118" spans="2:12" ht="15.75">
      <c r="B2118" s="760" t="s">
        <v>438</v>
      </c>
      <c r="C2118" s="20"/>
      <c r="D2118" s="20"/>
      <c r="E2118" s="20">
        <v>1.3</v>
      </c>
      <c r="F2118" s="20">
        <v>2.5</v>
      </c>
      <c r="G2118" s="20"/>
      <c r="H2118" s="20"/>
      <c r="I2118" s="20">
        <v>2</v>
      </c>
      <c r="J2118" s="19"/>
      <c r="K2118" s="17"/>
      <c r="L2118" s="649">
        <f>PRODUCT(C2118:K2118)</f>
        <v>6.5</v>
      </c>
    </row>
    <row r="2119" spans="2:12" ht="15">
      <c r="B2119" s="650"/>
      <c r="C2119" s="20"/>
      <c r="D2119" s="20"/>
      <c r="E2119" s="20">
        <v>1.3</v>
      </c>
      <c r="F2119" s="20">
        <v>2.2999999999999998</v>
      </c>
      <c r="G2119" s="20"/>
      <c r="H2119" s="20"/>
      <c r="I2119" s="20">
        <v>2</v>
      </c>
      <c r="J2119" s="19"/>
      <c r="K2119" s="17"/>
      <c r="L2119" s="649">
        <f>PRODUCT(C2119:K2119)</f>
        <v>5.9799999999999995</v>
      </c>
    </row>
    <row r="2120" spans="2:12" ht="15">
      <c r="B2120" s="650"/>
      <c r="C2120" s="20"/>
      <c r="D2120" s="20"/>
      <c r="E2120" s="20">
        <v>0.3</v>
      </c>
      <c r="F2120" s="20">
        <v>1.5</v>
      </c>
      <c r="G2120" s="20"/>
      <c r="H2120" s="20"/>
      <c r="I2120" s="20">
        <v>2</v>
      </c>
      <c r="J2120" s="19"/>
      <c r="K2120" s="17"/>
      <c r="L2120" s="649">
        <f>PRODUCT(C2120:K2120)</f>
        <v>0.89999999999999991</v>
      </c>
    </row>
    <row r="2121" spans="2:12" ht="15">
      <c r="B2121" s="650"/>
      <c r="C2121" s="20"/>
      <c r="D2121" s="20"/>
      <c r="E2121" s="20"/>
      <c r="F2121" s="20"/>
      <c r="G2121" s="20"/>
      <c r="H2121" s="20"/>
      <c r="I2121" s="20"/>
      <c r="J2121" s="19"/>
      <c r="K2121" s="17"/>
      <c r="L2121" s="649"/>
    </row>
    <row r="2122" spans="2:12" ht="15">
      <c r="B2122" s="648" t="s">
        <v>528</v>
      </c>
      <c r="C2122" s="20"/>
      <c r="D2122" s="20">
        <v>2</v>
      </c>
      <c r="E2122" s="20">
        <v>0.4</v>
      </c>
      <c r="F2122" s="20"/>
      <c r="G2122" s="20"/>
      <c r="H2122" s="20"/>
      <c r="I2122" s="20"/>
      <c r="J2122" s="19"/>
      <c r="K2122" s="28">
        <v>2</v>
      </c>
      <c r="L2122" s="649">
        <f>PRODUCT(C2122:K2122)</f>
        <v>1.6</v>
      </c>
    </row>
    <row r="2123" spans="2:12" ht="15">
      <c r="B2123" s="648" t="s">
        <v>529</v>
      </c>
      <c r="C2123" s="20"/>
      <c r="D2123" s="20">
        <v>2</v>
      </c>
      <c r="E2123" s="20">
        <v>0.4</v>
      </c>
      <c r="F2123" s="20"/>
      <c r="G2123" s="20"/>
      <c r="H2123" s="19"/>
      <c r="I2123" s="20"/>
      <c r="J2123" s="19"/>
      <c r="K2123" s="28">
        <v>1</v>
      </c>
      <c r="L2123" s="649">
        <f>PRODUCT(C2123:K2123)</f>
        <v>0.8</v>
      </c>
    </row>
    <row r="2124" spans="2:12" ht="15">
      <c r="B2124" s="648" t="s">
        <v>530</v>
      </c>
      <c r="C2124" s="20"/>
      <c r="D2124" s="20">
        <v>2</v>
      </c>
      <c r="E2124" s="20">
        <v>0.4</v>
      </c>
      <c r="F2124" s="20"/>
      <c r="G2124" s="20"/>
      <c r="H2124" s="19"/>
      <c r="I2124" s="20"/>
      <c r="J2124" s="24"/>
      <c r="K2124" s="28">
        <v>1</v>
      </c>
      <c r="L2124" s="649">
        <f>PRODUCT(C2124:K2124)</f>
        <v>0.8</v>
      </c>
    </row>
    <row r="2125" spans="2:12" ht="15.75">
      <c r="B2125" s="1002">
        <v>2</v>
      </c>
      <c r="C2125" s="1003"/>
      <c r="D2125" s="1003"/>
      <c r="E2125" s="1003"/>
      <c r="F2125" s="1003"/>
      <c r="G2125" s="1003"/>
      <c r="H2125" s="1003"/>
      <c r="I2125" s="1003"/>
      <c r="J2125" s="1003"/>
      <c r="K2125" s="1003"/>
      <c r="L2125" s="1004"/>
    </row>
    <row r="2126" spans="2:12">
      <c r="B2126" s="651"/>
      <c r="L2126" s="652"/>
    </row>
    <row r="2127" spans="2:12" ht="15.75">
      <c r="B2127" s="638" t="s">
        <v>398</v>
      </c>
      <c r="C2127" s="8">
        <v>10</v>
      </c>
      <c r="D2127" s="9" t="s">
        <v>1033</v>
      </c>
      <c r="E2127" s="9"/>
      <c r="F2127" s="9"/>
      <c r="G2127" s="9"/>
      <c r="H2127" s="9"/>
      <c r="I2127" s="9"/>
      <c r="J2127" s="9"/>
      <c r="K2127" s="10"/>
      <c r="L2127" s="639"/>
    </row>
    <row r="2128" spans="2:12" ht="15">
      <c r="B2128" s="1005"/>
      <c r="C2128" s="1006"/>
      <c r="D2128" s="1006"/>
      <c r="E2128" s="1006"/>
      <c r="F2128" s="1006"/>
      <c r="G2128" s="1006"/>
      <c r="H2128" s="1006"/>
      <c r="I2128" s="1006"/>
      <c r="J2128" s="1006"/>
      <c r="K2128" s="1006"/>
      <c r="L2128" s="1007"/>
    </row>
    <row r="2129" spans="2:12" ht="47.25">
      <c r="B2129" s="642" t="s">
        <v>399</v>
      </c>
      <c r="C2129" s="25">
        <f>+'PROPUESTA ECONOMICA(Proponente)'!C184</f>
        <v>10.199999999999999</v>
      </c>
      <c r="D2129" s="12" t="str">
        <f>+VLOOKUP('MEMORIAS DE CANTIDADES'!C2129,'PROPUESTA ECONOMICA(Proponente)'!$C$21:$H$310,5,FALSE)</f>
        <v>Puerta en aluminio P-6, diseño y dimensiones según planos. (Incluye suministro e instalación).</v>
      </c>
      <c r="E2129" s="13"/>
      <c r="F2129" s="12"/>
      <c r="G2129" s="12"/>
      <c r="H2129" s="12"/>
      <c r="I2129" s="11" t="s">
        <v>400</v>
      </c>
      <c r="J2129" s="12" t="str">
        <f>+VLOOKUP('MEMORIAS DE CANTIDADES'!C2129,'PROPUESTA ECONOMICA(Proponente)'!$C$21:$H$310,6,FALSE)</f>
        <v>Und</v>
      </c>
      <c r="K2129" s="11" t="s">
        <v>401</v>
      </c>
      <c r="L2129" s="643">
        <f>SUM(L2130:L2138)</f>
        <v>43</v>
      </c>
    </row>
    <row r="2130" spans="2:12" ht="15">
      <c r="B2130" s="644"/>
      <c r="C2130" s="16"/>
      <c r="D2130" s="15"/>
      <c r="E2130" s="15"/>
      <c r="F2130" s="15"/>
      <c r="G2130" s="15"/>
      <c r="H2130" s="15"/>
      <c r="I2130" s="15"/>
      <c r="J2130" s="15"/>
      <c r="K2130" s="17"/>
      <c r="L2130" s="645"/>
    </row>
    <row r="2131" spans="2:12" ht="47.25">
      <c r="B2131" s="646" t="s">
        <v>402</v>
      </c>
      <c r="C2131" s="18" t="s">
        <v>403</v>
      </c>
      <c r="D2131" s="18" t="s">
        <v>404</v>
      </c>
      <c r="E2131" s="18" t="s">
        <v>405</v>
      </c>
      <c r="F2131" s="18" t="s">
        <v>406</v>
      </c>
      <c r="G2131" s="18" t="s">
        <v>407</v>
      </c>
      <c r="H2131" s="5" t="s">
        <v>408</v>
      </c>
      <c r="I2131" s="18" t="s">
        <v>409</v>
      </c>
      <c r="J2131" s="5" t="s">
        <v>410</v>
      </c>
      <c r="K2131" s="5" t="s">
        <v>411</v>
      </c>
      <c r="L2131" s="647" t="s">
        <v>412</v>
      </c>
    </row>
    <row r="2132" spans="2:12" ht="15">
      <c r="B2132" s="648" t="s">
        <v>833</v>
      </c>
      <c r="C2132" s="19"/>
      <c r="D2132" s="19"/>
      <c r="E2132" s="19"/>
      <c r="F2132" s="19"/>
      <c r="G2132" s="20"/>
      <c r="H2132" s="68"/>
      <c r="I2132" s="17"/>
      <c r="J2132" s="22"/>
      <c r="K2132" s="17"/>
      <c r="L2132" s="649">
        <f>PRODUCT(C2132:K2132)</f>
        <v>0</v>
      </c>
    </row>
    <row r="2133" spans="2:12" ht="15">
      <c r="B2133" s="648" t="s">
        <v>834</v>
      </c>
      <c r="C2133" s="20"/>
      <c r="D2133" s="19"/>
      <c r="E2133" s="19"/>
      <c r="F2133" s="19"/>
      <c r="G2133" s="20"/>
      <c r="H2133" s="68"/>
      <c r="I2133" s="17"/>
      <c r="J2133" s="24">
        <f>37+6</f>
        <v>43</v>
      </c>
      <c r="K2133" s="17"/>
      <c r="L2133" s="649">
        <f>PRODUCT(C2133:K2133)</f>
        <v>43</v>
      </c>
    </row>
    <row r="2134" spans="2:12" ht="15">
      <c r="B2134" s="650"/>
      <c r="C2134" s="20"/>
      <c r="D2134" s="20"/>
      <c r="E2134" s="20"/>
      <c r="F2134" s="20"/>
      <c r="G2134" s="20"/>
      <c r="H2134" s="20"/>
      <c r="I2134" s="20"/>
      <c r="J2134" s="24"/>
      <c r="K2134" s="17"/>
      <c r="L2134" s="649">
        <f t="shared" ref="L2134:L2137" si="164">PRODUCT(C2134:K2134)</f>
        <v>0</v>
      </c>
    </row>
    <row r="2135" spans="2:12" ht="15">
      <c r="B2135" s="648"/>
      <c r="C2135" s="20"/>
      <c r="D2135" s="20"/>
      <c r="E2135" s="20"/>
      <c r="F2135" s="20"/>
      <c r="G2135" s="20"/>
      <c r="H2135" s="20"/>
      <c r="I2135" s="20"/>
      <c r="J2135" s="24"/>
      <c r="K2135" s="17"/>
      <c r="L2135" s="649"/>
    </row>
    <row r="2136" spans="2:12" ht="15">
      <c r="B2136" s="648"/>
      <c r="C2136" s="20"/>
      <c r="D2136" s="20"/>
      <c r="E2136" s="20"/>
      <c r="F2136" s="20"/>
      <c r="G2136" s="20"/>
      <c r="H2136" s="19"/>
      <c r="I2136" s="20"/>
      <c r="J2136" s="24"/>
      <c r="K2136" s="17"/>
      <c r="L2136" s="649">
        <f t="shared" si="164"/>
        <v>0</v>
      </c>
    </row>
    <row r="2137" spans="2:12" ht="15">
      <c r="B2137" s="648"/>
      <c r="C2137" s="20"/>
      <c r="D2137" s="20"/>
      <c r="E2137" s="20"/>
      <c r="F2137" s="20"/>
      <c r="G2137" s="20"/>
      <c r="H2137" s="19"/>
      <c r="I2137" s="20"/>
      <c r="J2137" s="24"/>
      <c r="K2137" s="17"/>
      <c r="L2137" s="649">
        <f t="shared" si="164"/>
        <v>0</v>
      </c>
    </row>
    <row r="2138" spans="2:12" ht="15.75">
      <c r="B2138" s="1002" t="s">
        <v>414</v>
      </c>
      <c r="C2138" s="1003"/>
      <c r="D2138" s="1003"/>
      <c r="E2138" s="1003"/>
      <c r="F2138" s="1003"/>
      <c r="G2138" s="1003"/>
      <c r="H2138" s="1003"/>
      <c r="I2138" s="1003"/>
      <c r="J2138" s="1003"/>
      <c r="K2138" s="1003"/>
      <c r="L2138" s="1004"/>
    </row>
    <row r="2139" spans="2:12" ht="15.75">
      <c r="B2139" s="756"/>
      <c r="C2139" s="757"/>
      <c r="D2139" s="757"/>
      <c r="E2139" s="757"/>
      <c r="F2139" s="757"/>
      <c r="G2139" s="757"/>
      <c r="H2139" s="757"/>
      <c r="I2139" s="757"/>
      <c r="J2139" s="757"/>
      <c r="K2139" s="757"/>
      <c r="L2139" s="758"/>
    </row>
    <row r="2140" spans="2:12" ht="15.75">
      <c r="B2140" s="638" t="s">
        <v>398</v>
      </c>
      <c r="C2140" s="8">
        <v>10</v>
      </c>
      <c r="D2140" s="9" t="s">
        <v>1033</v>
      </c>
      <c r="E2140" s="9"/>
      <c r="F2140" s="9"/>
      <c r="G2140" s="9"/>
      <c r="H2140" s="9"/>
      <c r="I2140" s="9"/>
      <c r="J2140" s="9"/>
      <c r="K2140" s="10"/>
      <c r="L2140" s="639"/>
    </row>
    <row r="2141" spans="2:12" ht="15">
      <c r="B2141" s="1005"/>
      <c r="C2141" s="1006"/>
      <c r="D2141" s="1006"/>
      <c r="E2141" s="1006"/>
      <c r="F2141" s="1006"/>
      <c r="G2141" s="1006"/>
      <c r="H2141" s="1006"/>
      <c r="I2141" s="1006"/>
      <c r="J2141" s="1006"/>
      <c r="K2141" s="1006"/>
      <c r="L2141" s="1007"/>
    </row>
    <row r="2142" spans="2:12" ht="47.25">
      <c r="B2142" s="642" t="s">
        <v>399</v>
      </c>
      <c r="C2142" s="25">
        <f>+'PROPUESTA ECONOMICA(Proponente)'!C185</f>
        <v>10.3</v>
      </c>
      <c r="D2142" s="12" t="str">
        <f>+VLOOKUP('MEMORIAS DE CANTIDADES'!C2142,'PROPUESTA ECONOMICA(Proponente)'!$C$21:$H$310,5,FALSE)</f>
        <v>Puerta Lateral doble de acceso al campo en tubería metálica P-2, diseño y dimensiones según planos. Incluye suministro e instalación).</v>
      </c>
      <c r="E2142" s="13"/>
      <c r="F2142" s="12"/>
      <c r="G2142" s="12"/>
      <c r="H2142" s="12"/>
      <c r="I2142" s="11" t="s">
        <v>400</v>
      </c>
      <c r="J2142" s="12" t="str">
        <f>+VLOOKUP('MEMORIAS DE CANTIDADES'!C2142,'PROPUESTA ECONOMICA(Proponente)'!$C$21:$H$310,6,FALSE)</f>
        <v>Und</v>
      </c>
      <c r="K2142" s="11" t="s">
        <v>401</v>
      </c>
      <c r="L2142" s="643">
        <f>SUM(L2143:L2150)</f>
        <v>5</v>
      </c>
    </row>
    <row r="2143" spans="2:12" ht="15">
      <c r="B2143" s="644"/>
      <c r="C2143" s="16"/>
      <c r="D2143" s="15"/>
      <c r="E2143" s="15"/>
      <c r="F2143" s="15"/>
      <c r="G2143" s="15"/>
      <c r="H2143" s="15"/>
      <c r="I2143" s="15"/>
      <c r="J2143" s="15"/>
      <c r="K2143" s="17"/>
      <c r="L2143" s="645"/>
    </row>
    <row r="2144" spans="2:12" ht="47.25">
      <c r="B2144" s="646" t="s">
        <v>402</v>
      </c>
      <c r="C2144" s="18" t="s">
        <v>403</v>
      </c>
      <c r="D2144" s="18" t="s">
        <v>404</v>
      </c>
      <c r="E2144" s="18" t="s">
        <v>405</v>
      </c>
      <c r="F2144" s="18" t="s">
        <v>406</v>
      </c>
      <c r="G2144" s="18" t="s">
        <v>407</v>
      </c>
      <c r="H2144" s="5" t="s">
        <v>408</v>
      </c>
      <c r="I2144" s="18" t="s">
        <v>409</v>
      </c>
      <c r="J2144" s="5" t="s">
        <v>410</v>
      </c>
      <c r="K2144" s="5" t="s">
        <v>411</v>
      </c>
      <c r="L2144" s="647" t="s">
        <v>412</v>
      </c>
    </row>
    <row r="2145" spans="2:12" ht="15">
      <c r="B2145" s="648" t="s">
        <v>734</v>
      </c>
      <c r="C2145" s="19"/>
      <c r="D2145" s="19"/>
      <c r="E2145" s="19"/>
      <c r="F2145" s="19"/>
      <c r="G2145" s="20"/>
      <c r="H2145" s="68"/>
      <c r="I2145" s="28">
        <v>2</v>
      </c>
      <c r="J2145" s="22"/>
      <c r="K2145" s="17"/>
      <c r="L2145" s="649">
        <f>PRODUCT(C2145:K2145)</f>
        <v>2</v>
      </c>
    </row>
    <row r="2146" spans="2:12" ht="15">
      <c r="B2146" s="648" t="s">
        <v>807</v>
      </c>
      <c r="C2146" s="20"/>
      <c r="D2146" s="19"/>
      <c r="E2146" s="19"/>
      <c r="F2146" s="19"/>
      <c r="G2146" s="20"/>
      <c r="H2146" s="68"/>
      <c r="I2146" s="28">
        <v>2</v>
      </c>
      <c r="J2146" s="24"/>
      <c r="K2146" s="17"/>
      <c r="L2146" s="649">
        <f t="shared" ref="L2146:L2147" si="165">PRODUCT(C2146:K2146)</f>
        <v>2</v>
      </c>
    </row>
    <row r="2147" spans="2:12" ht="15">
      <c r="B2147" s="650" t="s">
        <v>782</v>
      </c>
      <c r="C2147" s="20"/>
      <c r="D2147" s="20"/>
      <c r="E2147" s="20"/>
      <c r="F2147" s="20"/>
      <c r="G2147" s="20"/>
      <c r="H2147" s="20"/>
      <c r="I2147" s="217">
        <v>1</v>
      </c>
      <c r="J2147" s="24"/>
      <c r="K2147" s="17"/>
      <c r="L2147" s="649">
        <f t="shared" si="165"/>
        <v>1</v>
      </c>
    </row>
    <row r="2148" spans="2:12" ht="15">
      <c r="B2148" s="648" t="s">
        <v>528</v>
      </c>
      <c r="C2148" s="20"/>
      <c r="D2148" s="20"/>
      <c r="E2148" s="20"/>
      <c r="F2148" s="20"/>
      <c r="G2148" s="20"/>
      <c r="H2148" s="19"/>
      <c r="I2148" s="122">
        <v>1</v>
      </c>
      <c r="J2148" s="24"/>
      <c r="K2148" s="17"/>
      <c r="L2148" s="649"/>
    </row>
    <row r="2149" spans="2:12" ht="15">
      <c r="B2149" s="650"/>
      <c r="C2149" s="20"/>
      <c r="D2149" s="20"/>
      <c r="E2149" s="20"/>
      <c r="F2149" s="20"/>
      <c r="G2149" s="20"/>
      <c r="H2149" s="19"/>
      <c r="I2149" s="20"/>
      <c r="J2149" s="24"/>
      <c r="K2149" s="17"/>
      <c r="L2149" s="649"/>
    </row>
    <row r="2150" spans="2:12" ht="15.75">
      <c r="B2150" s="1002" t="s">
        <v>414</v>
      </c>
      <c r="C2150" s="1003"/>
      <c r="D2150" s="1003"/>
      <c r="E2150" s="1003"/>
      <c r="F2150" s="1003"/>
      <c r="G2150" s="1003"/>
      <c r="H2150" s="1003"/>
      <c r="I2150" s="1003"/>
      <c r="J2150" s="1003"/>
      <c r="K2150" s="1003"/>
      <c r="L2150" s="1004"/>
    </row>
    <row r="2151" spans="2:12" ht="15.75">
      <c r="B2151" s="756"/>
      <c r="C2151" s="757"/>
      <c r="D2151" s="757"/>
      <c r="E2151" s="757"/>
      <c r="F2151" s="757"/>
      <c r="G2151" s="757"/>
      <c r="H2151" s="757"/>
      <c r="I2151" s="757"/>
      <c r="J2151" s="757"/>
      <c r="K2151" s="757"/>
      <c r="L2151" s="758"/>
    </row>
    <row r="2152" spans="2:12" ht="15.75">
      <c r="B2152" s="638" t="s">
        <v>398</v>
      </c>
      <c r="C2152" s="8">
        <v>10</v>
      </c>
      <c r="D2152" s="9" t="s">
        <v>1033</v>
      </c>
      <c r="E2152" s="9"/>
      <c r="F2152" s="9"/>
      <c r="G2152" s="9"/>
      <c r="H2152" s="9"/>
      <c r="I2152" s="9"/>
      <c r="J2152" s="9"/>
      <c r="K2152" s="10"/>
      <c r="L2152" s="639"/>
    </row>
    <row r="2153" spans="2:12" ht="15">
      <c r="B2153" s="1005"/>
      <c r="C2153" s="1006"/>
      <c r="D2153" s="1006"/>
      <c r="E2153" s="1006"/>
      <c r="F2153" s="1006"/>
      <c r="G2153" s="1006"/>
      <c r="H2153" s="1006"/>
      <c r="I2153" s="1006"/>
      <c r="J2153" s="1006"/>
      <c r="K2153" s="1006"/>
      <c r="L2153" s="1007"/>
    </row>
    <row r="2154" spans="2:12" ht="31.5">
      <c r="B2154" s="646" t="s">
        <v>399</v>
      </c>
      <c r="C2154" s="25">
        <f>+'PROPUESTA ECONOMICA(Proponente)'!C186</f>
        <v>10.4</v>
      </c>
      <c r="D2154" s="12" t="str">
        <f>+VLOOKUP('MEMORIAS DE CANTIDADES'!C2154,'PROPUESTA ECONOMICA(Proponente)'!$C$21:$H$310,5,FALSE)</f>
        <v>Puerta Principal doble en tubería metálica, diseño y dimensiones según planos.</v>
      </c>
      <c r="E2154" s="13"/>
      <c r="F2154" s="12"/>
      <c r="G2154" s="12"/>
      <c r="H2154" s="12"/>
      <c r="I2154" s="11" t="s">
        <v>400</v>
      </c>
      <c r="J2154" s="12" t="str">
        <f>+VLOOKUP('MEMORIAS DE CANTIDADES'!C2154,'PROPUESTA ECONOMICA(Proponente)'!$C$21:$H$310,6,FALSE)</f>
        <v>Und</v>
      </c>
      <c r="K2154" s="11" t="s">
        <v>401</v>
      </c>
      <c r="L2154" s="643">
        <f>SUM(L2155:L2162)</f>
        <v>2</v>
      </c>
    </row>
    <row r="2155" spans="2:12" ht="15">
      <c r="B2155" s="644"/>
      <c r="C2155" s="16"/>
      <c r="D2155" s="15"/>
      <c r="E2155" s="15"/>
      <c r="F2155" s="15"/>
      <c r="G2155" s="15"/>
      <c r="H2155" s="15"/>
      <c r="I2155" s="15"/>
      <c r="J2155" s="15"/>
      <c r="K2155" s="17"/>
      <c r="L2155" s="645"/>
    </row>
    <row r="2156" spans="2:12" ht="47.25">
      <c r="B2156" s="646" t="s">
        <v>402</v>
      </c>
      <c r="C2156" s="18" t="s">
        <v>403</v>
      </c>
      <c r="D2156" s="18" t="s">
        <v>404</v>
      </c>
      <c r="E2156" s="18" t="s">
        <v>405</v>
      </c>
      <c r="F2156" s="18" t="s">
        <v>406</v>
      </c>
      <c r="G2156" s="18" t="s">
        <v>407</v>
      </c>
      <c r="H2156" s="5" t="s">
        <v>408</v>
      </c>
      <c r="I2156" s="18" t="s">
        <v>409</v>
      </c>
      <c r="J2156" s="5" t="s">
        <v>410</v>
      </c>
      <c r="K2156" s="5" t="s">
        <v>411</v>
      </c>
      <c r="L2156" s="647" t="s">
        <v>412</v>
      </c>
    </row>
    <row r="2157" spans="2:12" ht="15">
      <c r="B2157" s="648" t="s">
        <v>438</v>
      </c>
      <c r="C2157" s="19"/>
      <c r="D2157" s="19"/>
      <c r="E2157" s="19"/>
      <c r="F2157" s="19"/>
      <c r="G2157" s="20"/>
      <c r="H2157" s="68"/>
      <c r="I2157" s="28">
        <v>2</v>
      </c>
      <c r="J2157" s="22"/>
      <c r="K2157" s="17"/>
      <c r="L2157" s="649">
        <f>PRODUCT(C2157:K2157)</f>
        <v>2</v>
      </c>
    </row>
    <row r="2158" spans="2:12" ht="15">
      <c r="B2158" s="648"/>
      <c r="C2158" s="20"/>
      <c r="D2158" s="19"/>
      <c r="E2158" s="19"/>
      <c r="F2158" s="19"/>
      <c r="G2158" s="20"/>
      <c r="H2158" s="68"/>
      <c r="I2158" s="17"/>
      <c r="J2158" s="24"/>
      <c r="K2158" s="17"/>
      <c r="L2158" s="649"/>
    </row>
    <row r="2159" spans="2:12" ht="15">
      <c r="B2159" s="650"/>
      <c r="C2159" s="20"/>
      <c r="D2159" s="20"/>
      <c r="E2159" s="20"/>
      <c r="F2159" s="20"/>
      <c r="G2159" s="20"/>
      <c r="H2159" s="20"/>
      <c r="I2159" s="20"/>
      <c r="J2159" s="24"/>
      <c r="K2159" s="17"/>
      <c r="L2159" s="649"/>
    </row>
    <row r="2160" spans="2:12" ht="15">
      <c r="B2160" s="650"/>
      <c r="C2160" s="20"/>
      <c r="D2160" s="20"/>
      <c r="E2160" s="20"/>
      <c r="F2160" s="20"/>
      <c r="G2160" s="20"/>
      <c r="H2160" s="19"/>
      <c r="I2160" s="20"/>
      <c r="J2160" s="24"/>
      <c r="K2160" s="17"/>
      <c r="L2160" s="649"/>
    </row>
    <row r="2161" spans="2:12" ht="15">
      <c r="B2161" s="650"/>
      <c r="C2161" s="20"/>
      <c r="D2161" s="20"/>
      <c r="E2161" s="20"/>
      <c r="F2161" s="20"/>
      <c r="G2161" s="20"/>
      <c r="H2161" s="19"/>
      <c r="I2161" s="20"/>
      <c r="J2161" s="24"/>
      <c r="K2161" s="17"/>
      <c r="L2161" s="649"/>
    </row>
    <row r="2162" spans="2:12" ht="15.75">
      <c r="B2162" s="1002" t="s">
        <v>414</v>
      </c>
      <c r="C2162" s="1003"/>
      <c r="D2162" s="1003"/>
      <c r="E2162" s="1003"/>
      <c r="F2162" s="1003"/>
      <c r="G2162" s="1003"/>
      <c r="H2162" s="1003"/>
      <c r="I2162" s="1003"/>
      <c r="J2162" s="1003"/>
      <c r="K2162" s="1003"/>
      <c r="L2162" s="1004"/>
    </row>
    <row r="2163" spans="2:12" ht="15.75">
      <c r="B2163" s="756"/>
      <c r="C2163" s="757"/>
      <c r="D2163" s="757"/>
      <c r="E2163" s="757"/>
      <c r="F2163" s="757"/>
      <c r="G2163" s="757"/>
      <c r="H2163" s="757"/>
      <c r="I2163" s="757"/>
      <c r="J2163" s="757"/>
      <c r="K2163" s="757"/>
      <c r="L2163" s="758"/>
    </row>
    <row r="2164" spans="2:12" ht="15.75">
      <c r="B2164" s="638" t="s">
        <v>398</v>
      </c>
      <c r="C2164" s="8">
        <v>10</v>
      </c>
      <c r="D2164" s="9" t="s">
        <v>1033</v>
      </c>
      <c r="E2164" s="9"/>
      <c r="F2164" s="9"/>
      <c r="G2164" s="9"/>
      <c r="H2164" s="9"/>
      <c r="I2164" s="9"/>
      <c r="J2164" s="9"/>
      <c r="K2164" s="10"/>
      <c r="L2164" s="639"/>
    </row>
    <row r="2165" spans="2:12" ht="15">
      <c r="B2165" s="1005"/>
      <c r="C2165" s="1006"/>
      <c r="D2165" s="1006"/>
      <c r="E2165" s="1006"/>
      <c r="F2165" s="1006"/>
      <c r="G2165" s="1006"/>
      <c r="H2165" s="1006"/>
      <c r="I2165" s="1006"/>
      <c r="J2165" s="1006"/>
      <c r="K2165" s="1006"/>
      <c r="L2165" s="1007"/>
    </row>
    <row r="2166" spans="2:12" ht="63">
      <c r="B2166" s="642" t="s">
        <v>399</v>
      </c>
      <c r="C2166" s="25">
        <f>+'PROPUESTA ECONOMICA(Proponente)'!C187</f>
        <v>10.5</v>
      </c>
      <c r="D2166" s="12" t="str">
        <f>+VLOOKUP('MEMORIAS DE CANTIDADES'!C2166,'PROPUESTA ECONOMICA(Proponente)'!$C$21:$H$310,5,FALSE)</f>
        <v>Suministro e instalación de puertas doble hoja para depósitos, tableros generales y subestación eléctrica en aluminio, (Incluye suministro e instalación).</v>
      </c>
      <c r="E2166" s="13"/>
      <c r="F2166" s="12"/>
      <c r="G2166" s="12"/>
      <c r="H2166" s="12"/>
      <c r="I2166" s="11" t="s">
        <v>400</v>
      </c>
      <c r="J2166" s="12" t="str">
        <f>+VLOOKUP('MEMORIAS DE CANTIDADES'!C2166,'PROPUESTA ECONOMICA(Proponente)'!$C$21:$H$310,6,FALSE)</f>
        <v>Und</v>
      </c>
      <c r="K2166" s="11" t="s">
        <v>401</v>
      </c>
      <c r="L2166" s="643">
        <f>SUM(L2167:L2174)</f>
        <v>4</v>
      </c>
    </row>
    <row r="2167" spans="2:12" ht="15">
      <c r="B2167" s="644"/>
      <c r="C2167" s="16"/>
      <c r="D2167" s="15"/>
      <c r="E2167" s="15"/>
      <c r="F2167" s="15"/>
      <c r="G2167" s="15"/>
      <c r="H2167" s="15"/>
      <c r="I2167" s="15"/>
      <c r="J2167" s="15"/>
      <c r="K2167" s="17"/>
      <c r="L2167" s="645"/>
    </row>
    <row r="2168" spans="2:12" ht="47.25">
      <c r="B2168" s="646" t="s">
        <v>402</v>
      </c>
      <c r="C2168" s="18" t="s">
        <v>403</v>
      </c>
      <c r="D2168" s="18" t="s">
        <v>404</v>
      </c>
      <c r="E2168" s="18" t="s">
        <v>405</v>
      </c>
      <c r="F2168" s="18" t="s">
        <v>406</v>
      </c>
      <c r="G2168" s="18" t="s">
        <v>407</v>
      </c>
      <c r="H2168" s="5" t="s">
        <v>408</v>
      </c>
      <c r="I2168" s="18" t="s">
        <v>409</v>
      </c>
      <c r="J2168" s="5" t="s">
        <v>410</v>
      </c>
      <c r="K2168" s="5" t="s">
        <v>411</v>
      </c>
      <c r="L2168" s="647" t="s">
        <v>412</v>
      </c>
    </row>
    <row r="2169" spans="2:12" ht="15">
      <c r="B2169" s="648" t="s">
        <v>528</v>
      </c>
      <c r="C2169" s="269"/>
      <c r="D2169" s="269"/>
      <c r="E2169" s="269"/>
      <c r="F2169" s="269"/>
      <c r="G2169" s="270"/>
      <c r="H2169" s="346"/>
      <c r="I2169" s="17">
        <v>2</v>
      </c>
      <c r="J2169" s="22"/>
      <c r="K2169" s="17"/>
      <c r="L2169" s="656">
        <f>PRODUCT(C2169:K2169)</f>
        <v>2</v>
      </c>
    </row>
    <row r="2170" spans="2:12" ht="15">
      <c r="B2170" s="648" t="s">
        <v>529</v>
      </c>
      <c r="C2170" s="270"/>
      <c r="D2170" s="269"/>
      <c r="E2170" s="269"/>
      <c r="F2170" s="269"/>
      <c r="G2170" s="270"/>
      <c r="H2170" s="346"/>
      <c r="I2170" s="17">
        <v>1</v>
      </c>
      <c r="J2170" s="272"/>
      <c r="K2170" s="17"/>
      <c r="L2170" s="656">
        <f>PRODUCT(C2170:K2170)</f>
        <v>1</v>
      </c>
    </row>
    <row r="2171" spans="2:12" ht="15">
      <c r="B2171" s="648" t="s">
        <v>537</v>
      </c>
      <c r="C2171" s="270"/>
      <c r="D2171" s="270"/>
      <c r="E2171" s="270"/>
      <c r="F2171" s="270"/>
      <c r="G2171" s="270"/>
      <c r="H2171" s="270"/>
      <c r="I2171" s="349">
        <v>1</v>
      </c>
      <c r="J2171" s="272"/>
      <c r="K2171" s="17"/>
      <c r="L2171" s="656">
        <f t="shared" ref="L2171" si="166">PRODUCT(C2171:K2171)</f>
        <v>1</v>
      </c>
    </row>
    <row r="2172" spans="2:12" ht="15">
      <c r="B2172" s="650"/>
      <c r="C2172" s="20"/>
      <c r="D2172" s="20"/>
      <c r="E2172" s="20"/>
      <c r="F2172" s="20"/>
      <c r="G2172" s="20"/>
      <c r="H2172" s="19"/>
      <c r="I2172" s="20"/>
      <c r="J2172" s="24"/>
      <c r="K2172" s="17"/>
      <c r="L2172" s="649"/>
    </row>
    <row r="2173" spans="2:12" ht="15">
      <c r="B2173" s="650"/>
      <c r="C2173" s="20"/>
      <c r="D2173" s="20"/>
      <c r="E2173" s="20"/>
      <c r="F2173" s="20"/>
      <c r="G2173" s="20"/>
      <c r="H2173" s="19"/>
      <c r="I2173" s="20"/>
      <c r="J2173" s="24"/>
      <c r="K2173" s="17"/>
      <c r="L2173" s="649"/>
    </row>
    <row r="2174" spans="2:12" ht="15.75">
      <c r="B2174" s="1002" t="s">
        <v>414</v>
      </c>
      <c r="C2174" s="1003"/>
      <c r="D2174" s="1003"/>
      <c r="E2174" s="1003"/>
      <c r="F2174" s="1003"/>
      <c r="G2174" s="1003"/>
      <c r="H2174" s="1003"/>
      <c r="I2174" s="1003"/>
      <c r="J2174" s="1003"/>
      <c r="K2174" s="1003"/>
      <c r="L2174" s="1004"/>
    </row>
    <row r="2175" spans="2:12" ht="15.75">
      <c r="B2175" s="756"/>
      <c r="C2175" s="757"/>
      <c r="D2175" s="757"/>
      <c r="E2175" s="757"/>
      <c r="F2175" s="757"/>
      <c r="G2175" s="757"/>
      <c r="H2175" s="757"/>
      <c r="I2175" s="757"/>
      <c r="J2175" s="757"/>
      <c r="K2175" s="757"/>
      <c r="L2175" s="758"/>
    </row>
    <row r="2176" spans="2:12" ht="15.6" customHeight="1">
      <c r="B2176" s="638" t="s">
        <v>398</v>
      </c>
      <c r="C2176" s="8">
        <v>10</v>
      </c>
      <c r="D2176" s="9" t="s">
        <v>1033</v>
      </c>
      <c r="E2176" s="9"/>
      <c r="F2176" s="9"/>
      <c r="G2176" s="9"/>
      <c r="H2176" s="9"/>
      <c r="I2176" s="9"/>
      <c r="J2176" s="9"/>
      <c r="K2176" s="10"/>
      <c r="L2176" s="639"/>
    </row>
    <row r="2177" spans="2:12" ht="15">
      <c r="B2177" s="1005"/>
      <c r="C2177" s="1006"/>
      <c r="D2177" s="1006"/>
      <c r="E2177" s="1006"/>
      <c r="F2177" s="1006"/>
      <c r="G2177" s="1006"/>
      <c r="H2177" s="1006"/>
      <c r="I2177" s="1006"/>
      <c r="J2177" s="1006"/>
      <c r="K2177" s="1006"/>
      <c r="L2177" s="1007"/>
    </row>
    <row r="2178" spans="2:12" ht="46.9" customHeight="1">
      <c r="B2178" s="642" t="s">
        <v>399</v>
      </c>
      <c r="C2178" s="25">
        <f>+'PROPUESTA ECONOMICA(Proponente)'!C188</f>
        <v>10.6</v>
      </c>
      <c r="D2178" s="12" t="str">
        <f>+VLOOKUP('MEMORIAS DE CANTIDADES'!C2178,'PROPUESTA ECONOMICA(Proponente)'!$C$21:$H$310,5,FALSE)</f>
        <v>Baranda metálica en tubular de acero con pintura de esmalte color rojo, (Incluye suministro e instalación).</v>
      </c>
      <c r="E2178" s="13"/>
      <c r="F2178" s="12"/>
      <c r="G2178" s="12"/>
      <c r="H2178" s="12"/>
      <c r="I2178" s="11" t="s">
        <v>400</v>
      </c>
      <c r="J2178" s="12" t="str">
        <f>+VLOOKUP('MEMORIAS DE CANTIDADES'!C2178,'PROPUESTA ECONOMICA(Proponente)'!$C$21:$H$310,6,FALSE)</f>
        <v>ml</v>
      </c>
      <c r="K2178" s="11" t="s">
        <v>401</v>
      </c>
      <c r="L2178" s="643">
        <f>SUM(L2179:L2186)</f>
        <v>343.6</v>
      </c>
    </row>
    <row r="2179" spans="2:12" ht="15">
      <c r="B2179" s="644"/>
      <c r="C2179" s="16"/>
      <c r="D2179" s="15"/>
      <c r="E2179" s="15"/>
      <c r="F2179" s="15"/>
      <c r="G2179" s="15"/>
      <c r="H2179" s="15"/>
      <c r="I2179" s="15"/>
      <c r="J2179" s="15"/>
      <c r="K2179" s="17"/>
      <c r="L2179" s="645"/>
    </row>
    <row r="2180" spans="2:12" ht="47.25">
      <c r="B2180" s="646" t="s">
        <v>402</v>
      </c>
      <c r="C2180" s="18" t="s">
        <v>403</v>
      </c>
      <c r="D2180" s="18" t="s">
        <v>404</v>
      </c>
      <c r="E2180" s="18" t="s">
        <v>405</v>
      </c>
      <c r="F2180" s="18" t="s">
        <v>406</v>
      </c>
      <c r="G2180" s="18" t="s">
        <v>407</v>
      </c>
      <c r="H2180" s="5" t="s">
        <v>408</v>
      </c>
      <c r="I2180" s="18" t="s">
        <v>409</v>
      </c>
      <c r="J2180" s="5" t="s">
        <v>410</v>
      </c>
      <c r="K2180" s="5" t="s">
        <v>411</v>
      </c>
      <c r="L2180" s="647" t="s">
        <v>412</v>
      </c>
    </row>
    <row r="2181" spans="2:12" ht="15">
      <c r="B2181" s="648" t="s">
        <v>734</v>
      </c>
      <c r="C2181" s="19"/>
      <c r="D2181" s="19"/>
      <c r="E2181" s="19"/>
      <c r="F2181" s="19">
        <f>60.8+6</f>
        <v>66.8</v>
      </c>
      <c r="G2181" s="20"/>
      <c r="H2181" s="68"/>
      <c r="I2181" s="17">
        <v>2</v>
      </c>
      <c r="J2181" s="22"/>
      <c r="K2181" s="17"/>
      <c r="L2181" s="649">
        <f>PRODUCT(C2181:K2181)</f>
        <v>133.6</v>
      </c>
    </row>
    <row r="2182" spans="2:12" ht="15">
      <c r="B2182" s="648" t="s">
        <v>807</v>
      </c>
      <c r="C2182" s="20"/>
      <c r="D2182" s="19"/>
      <c r="E2182" s="19"/>
      <c r="F2182" s="19">
        <f>76+12</f>
        <v>88</v>
      </c>
      <c r="G2182" s="20"/>
      <c r="H2182" s="68"/>
      <c r="I2182" s="17">
        <v>1</v>
      </c>
      <c r="J2182" s="24"/>
      <c r="K2182" s="17"/>
      <c r="L2182" s="649">
        <f>PRODUCT(C2182:K2182)</f>
        <v>88</v>
      </c>
    </row>
    <row r="2183" spans="2:12" ht="15">
      <c r="B2183" s="648"/>
      <c r="C2183" s="20"/>
      <c r="D2183" s="20"/>
      <c r="E2183" s="20"/>
      <c r="F2183" s="20"/>
      <c r="G2183" s="20"/>
      <c r="H2183" s="20"/>
      <c r="I2183" s="20"/>
      <c r="J2183" s="24"/>
      <c r="K2183" s="17"/>
      <c r="L2183" s="649"/>
    </row>
    <row r="2184" spans="2:12" ht="15">
      <c r="B2184" s="650" t="s">
        <v>934</v>
      </c>
      <c r="C2184" s="20"/>
      <c r="D2184" s="20"/>
      <c r="E2184" s="20"/>
      <c r="F2184" s="20">
        <v>122</v>
      </c>
      <c r="G2184" s="20"/>
      <c r="H2184" s="19"/>
      <c r="I2184" s="20"/>
      <c r="J2184" s="24"/>
      <c r="K2184" s="17"/>
      <c r="L2184" s="649">
        <f t="shared" ref="L2184" si="167">PRODUCT(C2184:K2184)</f>
        <v>122</v>
      </c>
    </row>
    <row r="2185" spans="2:12" ht="15">
      <c r="B2185" s="650"/>
      <c r="C2185" s="20"/>
      <c r="D2185" s="20"/>
      <c r="E2185" s="20"/>
      <c r="F2185" s="20"/>
      <c r="G2185" s="20"/>
      <c r="H2185" s="19"/>
      <c r="I2185" s="20"/>
      <c r="J2185" s="24"/>
      <c r="K2185" s="17"/>
      <c r="L2185" s="649"/>
    </row>
    <row r="2186" spans="2:12" ht="15.75">
      <c r="B2186" s="1002" t="s">
        <v>414</v>
      </c>
      <c r="C2186" s="1003"/>
      <c r="D2186" s="1003"/>
      <c r="E2186" s="1003"/>
      <c r="F2186" s="1003"/>
      <c r="G2186" s="1003"/>
      <c r="H2186" s="1003"/>
      <c r="I2186" s="1003"/>
      <c r="J2186" s="1003"/>
      <c r="K2186" s="1003"/>
      <c r="L2186" s="1004"/>
    </row>
    <row r="2187" spans="2:12" ht="15.75">
      <c r="B2187" s="756"/>
      <c r="C2187" s="757"/>
      <c r="D2187" s="757"/>
      <c r="E2187" s="757"/>
      <c r="F2187" s="757"/>
      <c r="G2187" s="757"/>
      <c r="H2187" s="757"/>
      <c r="I2187" s="757"/>
      <c r="J2187" s="757"/>
      <c r="K2187" s="757"/>
      <c r="L2187" s="758"/>
    </row>
    <row r="2188" spans="2:12" ht="15.75">
      <c r="B2188" s="638" t="s">
        <v>398</v>
      </c>
      <c r="C2188" s="8">
        <v>10</v>
      </c>
      <c r="D2188" s="9" t="s">
        <v>1033</v>
      </c>
      <c r="E2188" s="9"/>
      <c r="F2188" s="9"/>
      <c r="G2188" s="9"/>
      <c r="H2188" s="9"/>
      <c r="I2188" s="9"/>
      <c r="J2188" s="9"/>
      <c r="K2188" s="10"/>
      <c r="L2188" s="639"/>
    </row>
    <row r="2189" spans="2:12" ht="15">
      <c r="B2189" s="1005"/>
      <c r="C2189" s="1006"/>
      <c r="D2189" s="1006"/>
      <c r="E2189" s="1006"/>
      <c r="F2189" s="1006"/>
      <c r="G2189" s="1006"/>
      <c r="H2189" s="1006"/>
      <c r="I2189" s="1006"/>
      <c r="J2189" s="1006"/>
      <c r="K2189" s="1006"/>
      <c r="L2189" s="1007"/>
    </row>
    <row r="2190" spans="2:12" ht="63">
      <c r="B2190" s="642" t="s">
        <v>399</v>
      </c>
      <c r="C2190" s="25">
        <f>+'PROPUESTA ECONOMICA(Proponente)'!C189</f>
        <v>10.7</v>
      </c>
      <c r="D2190" s="12" t="str">
        <f>+VLOOKUP('MEMORIAS DE CANTIDADES'!C2190,'PROPUESTA ECONOMICA(Proponente)'!$C$21:$H$310,5,FALSE)</f>
        <v>Divisiones de Baños en láminas de acero Galvanizada Cal-20 y soportes y espesor de e3 mm y con herrajes en acero inoxidable, (Incluye suministro e instalación).</v>
      </c>
      <c r="E2190" s="13"/>
      <c r="F2190" s="12"/>
      <c r="G2190" s="12"/>
      <c r="H2190" s="12"/>
      <c r="I2190" s="11" t="s">
        <v>400</v>
      </c>
      <c r="J2190" s="12" t="str">
        <f>+VLOOKUP('MEMORIAS DE CANTIDADES'!C2190,'PROPUESTA ECONOMICA(Proponente)'!$C$21:$H$310,6,FALSE)</f>
        <v>m2</v>
      </c>
      <c r="K2190" s="11" t="s">
        <v>401</v>
      </c>
      <c r="L2190" s="643">
        <f>SUM(L2191:L2197)</f>
        <v>244.8</v>
      </c>
    </row>
    <row r="2191" spans="2:12" ht="15">
      <c r="B2191" s="644"/>
      <c r="C2191" s="16"/>
      <c r="D2191" s="15"/>
      <c r="E2191" s="15"/>
      <c r="F2191" s="15"/>
      <c r="G2191" s="15"/>
      <c r="H2191" s="15"/>
      <c r="I2191" s="15"/>
      <c r="J2191" s="15"/>
      <c r="K2191" s="17"/>
      <c r="L2191" s="645"/>
    </row>
    <row r="2192" spans="2:12" ht="47.25">
      <c r="B2192" s="646" t="s">
        <v>402</v>
      </c>
      <c r="C2192" s="18" t="s">
        <v>403</v>
      </c>
      <c r="D2192" s="18" t="s">
        <v>404</v>
      </c>
      <c r="E2192" s="18" t="s">
        <v>405</v>
      </c>
      <c r="F2192" s="18" t="s">
        <v>406</v>
      </c>
      <c r="G2192" s="18" t="s">
        <v>407</v>
      </c>
      <c r="H2192" s="5" t="s">
        <v>408</v>
      </c>
      <c r="I2192" s="18" t="s">
        <v>409</v>
      </c>
      <c r="J2192" s="5" t="s">
        <v>410</v>
      </c>
      <c r="K2192" s="5" t="s">
        <v>411</v>
      </c>
      <c r="L2192" s="647" t="s">
        <v>412</v>
      </c>
    </row>
    <row r="2193" spans="2:12" ht="15.75">
      <c r="B2193" s="759" t="s">
        <v>734</v>
      </c>
      <c r="C2193" s="19"/>
      <c r="D2193" s="19"/>
      <c r="E2193" s="19">
        <v>1.8</v>
      </c>
      <c r="F2193" s="19">
        <v>2</v>
      </c>
      <c r="G2193" s="20"/>
      <c r="H2193" s="68"/>
      <c r="I2193" s="17">
        <v>32</v>
      </c>
      <c r="J2193" s="22"/>
      <c r="K2193" s="17"/>
      <c r="L2193" s="649">
        <f>PRODUCT(C2193:K2193)</f>
        <v>115.2</v>
      </c>
    </row>
    <row r="2194" spans="2:12" ht="15.75">
      <c r="B2194" s="759" t="s">
        <v>835</v>
      </c>
      <c r="C2194" s="20"/>
      <c r="D2194" s="20"/>
      <c r="E2194" s="20">
        <v>1.8</v>
      </c>
      <c r="F2194" s="20">
        <v>2</v>
      </c>
      <c r="G2194" s="20"/>
      <c r="H2194" s="20"/>
      <c r="I2194" s="20">
        <v>36</v>
      </c>
      <c r="J2194" s="24"/>
      <c r="K2194" s="17"/>
      <c r="L2194" s="649">
        <f t="shared" ref="L2194" si="168">PRODUCT(C2194:K2194)</f>
        <v>129.6</v>
      </c>
    </row>
    <row r="2195" spans="2:12" ht="15">
      <c r="B2195" s="650"/>
      <c r="C2195" s="20"/>
      <c r="D2195" s="20"/>
      <c r="E2195" s="20"/>
      <c r="F2195" s="20"/>
      <c r="G2195" s="20"/>
      <c r="H2195" s="19"/>
      <c r="I2195" s="20"/>
      <c r="J2195" s="24"/>
      <c r="K2195" s="17"/>
      <c r="L2195" s="649"/>
    </row>
    <row r="2196" spans="2:12" ht="15">
      <c r="B2196" s="650"/>
      <c r="C2196" s="20"/>
      <c r="D2196" s="20"/>
      <c r="E2196" s="20"/>
      <c r="F2196" s="20"/>
      <c r="G2196" s="20"/>
      <c r="H2196" s="19"/>
      <c r="I2196" s="20"/>
      <c r="J2196" s="24"/>
      <c r="K2196" s="17"/>
      <c r="L2196" s="649"/>
    </row>
    <row r="2197" spans="2:12" ht="15.75">
      <c r="B2197" s="1002" t="s">
        <v>414</v>
      </c>
      <c r="C2197" s="1003"/>
      <c r="D2197" s="1003"/>
      <c r="E2197" s="1003"/>
      <c r="F2197" s="1003"/>
      <c r="G2197" s="1003"/>
      <c r="H2197" s="1003"/>
      <c r="I2197" s="1003"/>
      <c r="J2197" s="1003"/>
      <c r="K2197" s="1003"/>
      <c r="L2197" s="1004"/>
    </row>
    <row r="2198" spans="2:12" ht="15.75">
      <c r="B2198" s="756"/>
      <c r="C2198" s="757"/>
      <c r="D2198" s="757"/>
      <c r="E2198" s="757"/>
      <c r="F2198" s="757"/>
      <c r="G2198" s="757"/>
      <c r="H2198" s="757"/>
      <c r="I2198" s="757"/>
      <c r="J2198" s="757"/>
      <c r="K2198" s="757"/>
      <c r="L2198" s="758"/>
    </row>
    <row r="2199" spans="2:12" ht="15.75">
      <c r="B2199" s="638" t="s">
        <v>398</v>
      </c>
      <c r="C2199" s="8">
        <v>10</v>
      </c>
      <c r="D2199" s="9" t="s">
        <v>1033</v>
      </c>
      <c r="E2199" s="9"/>
      <c r="F2199" s="9"/>
      <c r="G2199" s="9"/>
      <c r="H2199" s="9"/>
      <c r="I2199" s="9"/>
      <c r="J2199" s="9"/>
      <c r="K2199" s="10"/>
      <c r="L2199" s="639"/>
    </row>
    <row r="2200" spans="2:12" ht="15">
      <c r="B2200" s="1005"/>
      <c r="C2200" s="1006"/>
      <c r="D2200" s="1006"/>
      <c r="E2200" s="1006"/>
      <c r="F2200" s="1006"/>
      <c r="G2200" s="1006"/>
      <c r="H2200" s="1006"/>
      <c r="I2200" s="1006"/>
      <c r="J2200" s="1006"/>
      <c r="K2200" s="1006"/>
      <c r="L2200" s="1007"/>
    </row>
    <row r="2201" spans="2:12" ht="63">
      <c r="B2201" s="642" t="s">
        <v>399</v>
      </c>
      <c r="C2201" s="25">
        <f>+'PROPUESTA ECONOMICA(Proponente)'!C190</f>
        <v>10.8</v>
      </c>
      <c r="D2201" s="12" t="str">
        <f>+VLOOKUP('MEMORIAS DE CANTIDADES'!C2201,'PROPUESTA ECONOMICA(Proponente)'!$C$21:$H$310,5,FALSE)</f>
        <v>Suministro puertas acceso baños metálica cal-20, Cald Rol o similar, incluye marco metálico , anclajes y herrajes, (Incluye suministro e instalación). TRITURADO</v>
      </c>
      <c r="E2201" s="13"/>
      <c r="F2201" s="12"/>
      <c r="G2201" s="12"/>
      <c r="H2201" s="12"/>
      <c r="I2201" s="11" t="s">
        <v>400</v>
      </c>
      <c r="J2201" s="12" t="str">
        <f>+VLOOKUP('MEMORIAS DE CANTIDADES'!C2201,'PROPUESTA ECONOMICA(Proponente)'!$C$21:$H$310,6,FALSE)</f>
        <v>Und</v>
      </c>
      <c r="K2201" s="11" t="s">
        <v>401</v>
      </c>
      <c r="L2201" s="643">
        <f>SUM(L2202:L2209)</f>
        <v>68</v>
      </c>
    </row>
    <row r="2202" spans="2:12" ht="15">
      <c r="B2202" s="644"/>
      <c r="C2202" s="16"/>
      <c r="D2202" s="15"/>
      <c r="E2202" s="15"/>
      <c r="F2202" s="15"/>
      <c r="G2202" s="15"/>
      <c r="H2202" s="15"/>
      <c r="I2202" s="15"/>
      <c r="J2202" s="15"/>
      <c r="K2202" s="17"/>
      <c r="L2202" s="645"/>
    </row>
    <row r="2203" spans="2:12" ht="47.25">
      <c r="B2203" s="646" t="s">
        <v>402</v>
      </c>
      <c r="C2203" s="18" t="s">
        <v>403</v>
      </c>
      <c r="D2203" s="18" t="s">
        <v>404</v>
      </c>
      <c r="E2203" s="18" t="s">
        <v>405</v>
      </c>
      <c r="F2203" s="18" t="s">
        <v>406</v>
      </c>
      <c r="G2203" s="18" t="s">
        <v>407</v>
      </c>
      <c r="H2203" s="5" t="s">
        <v>408</v>
      </c>
      <c r="I2203" s="18" t="s">
        <v>409</v>
      </c>
      <c r="J2203" s="5" t="s">
        <v>410</v>
      </c>
      <c r="K2203" s="5" t="s">
        <v>411</v>
      </c>
      <c r="L2203" s="647" t="s">
        <v>412</v>
      </c>
    </row>
    <row r="2204" spans="2:12" ht="15.75">
      <c r="B2204" s="759" t="s">
        <v>734</v>
      </c>
      <c r="C2204" s="19"/>
      <c r="D2204" s="19"/>
      <c r="E2204" s="19"/>
      <c r="F2204" s="19"/>
      <c r="G2204" s="20"/>
      <c r="H2204" s="68"/>
      <c r="I2204" s="17">
        <v>32</v>
      </c>
      <c r="J2204" s="22"/>
      <c r="K2204" s="17"/>
      <c r="L2204" s="649">
        <f>PRODUCT(C2204:K2204)</f>
        <v>32</v>
      </c>
    </row>
    <row r="2205" spans="2:12" ht="15.75">
      <c r="B2205" s="759" t="s">
        <v>835</v>
      </c>
      <c r="C2205" s="20"/>
      <c r="D2205" s="19"/>
      <c r="E2205" s="19"/>
      <c r="F2205" s="19"/>
      <c r="G2205" s="20"/>
      <c r="H2205" s="68"/>
      <c r="I2205" s="122">
        <v>36</v>
      </c>
      <c r="J2205" s="24"/>
      <c r="K2205" s="17"/>
      <c r="L2205" s="649">
        <f t="shared" ref="L2205" si="169">PRODUCT(C2205:K2205)</f>
        <v>36</v>
      </c>
    </row>
    <row r="2206" spans="2:12" ht="15">
      <c r="B2206" s="650"/>
      <c r="C2206" s="20"/>
      <c r="D2206" s="20"/>
      <c r="E2206" s="20"/>
      <c r="F2206" s="20"/>
      <c r="G2206" s="20"/>
      <c r="H2206" s="19"/>
      <c r="I2206" s="20"/>
      <c r="J2206" s="24"/>
      <c r="K2206" s="17"/>
      <c r="L2206" s="649"/>
    </row>
    <row r="2207" spans="2:12" ht="15">
      <c r="B2207" s="650"/>
      <c r="C2207" s="20"/>
      <c r="D2207" s="20"/>
      <c r="E2207" s="20"/>
      <c r="F2207" s="20"/>
      <c r="G2207" s="20"/>
      <c r="H2207" s="19"/>
      <c r="I2207" s="20"/>
      <c r="J2207" s="24"/>
      <c r="K2207" s="17"/>
      <c r="L2207" s="649"/>
    </row>
    <row r="2208" spans="2:12" ht="15">
      <c r="B2208" s="650"/>
      <c r="C2208" s="20"/>
      <c r="D2208" s="20"/>
      <c r="E2208" s="20"/>
      <c r="F2208" s="20"/>
      <c r="G2208" s="20"/>
      <c r="H2208" s="19"/>
      <c r="I2208" s="20"/>
      <c r="J2208" s="24"/>
      <c r="K2208" s="17"/>
      <c r="L2208" s="649"/>
    </row>
    <row r="2209" spans="2:12" ht="15.75">
      <c r="B2209" s="1002" t="s">
        <v>414</v>
      </c>
      <c r="C2209" s="1003"/>
      <c r="D2209" s="1003"/>
      <c r="E2209" s="1003"/>
      <c r="F2209" s="1003"/>
      <c r="G2209" s="1003"/>
      <c r="H2209" s="1003"/>
      <c r="I2209" s="1003"/>
      <c r="J2209" s="1003"/>
      <c r="K2209" s="1003"/>
      <c r="L2209" s="1004"/>
    </row>
    <row r="2210" spans="2:12" ht="15.75">
      <c r="B2210" s="756"/>
      <c r="C2210" s="757"/>
      <c r="D2210" s="757"/>
      <c r="E2210" s="757"/>
      <c r="F2210" s="757"/>
      <c r="G2210" s="757"/>
      <c r="H2210" s="757"/>
      <c r="I2210" s="757"/>
      <c r="J2210" s="757"/>
      <c r="K2210" s="757"/>
      <c r="L2210" s="758"/>
    </row>
    <row r="2211" spans="2:12" ht="15.75">
      <c r="B2211" s="638" t="s">
        <v>398</v>
      </c>
      <c r="C2211" s="8">
        <v>10</v>
      </c>
      <c r="D2211" s="9" t="s">
        <v>1033</v>
      </c>
      <c r="E2211" s="9"/>
      <c r="F2211" s="9"/>
      <c r="G2211" s="9"/>
      <c r="H2211" s="9"/>
      <c r="I2211" s="9"/>
      <c r="J2211" s="9"/>
      <c r="K2211" s="10"/>
      <c r="L2211" s="639"/>
    </row>
    <row r="2212" spans="2:12" ht="15">
      <c r="B2212" s="1005"/>
      <c r="C2212" s="1006"/>
      <c r="D2212" s="1006"/>
      <c r="E2212" s="1006"/>
      <c r="F2212" s="1006"/>
      <c r="G2212" s="1006"/>
      <c r="H2212" s="1006"/>
      <c r="I2212" s="1006"/>
      <c r="J2212" s="1006"/>
      <c r="K2212" s="1006"/>
      <c r="L2212" s="1007"/>
    </row>
    <row r="2213" spans="2:12" ht="63">
      <c r="B2213" s="642" t="s">
        <v>399</v>
      </c>
      <c r="C2213" s="25">
        <f>+'PROPUESTA ECONOMICA(Proponente)'!C191</f>
        <v>10.9</v>
      </c>
      <c r="D2213" s="12" t="str">
        <f>+VLOOKUP('MEMORIAS DE CANTIDADES'!C2213,'PROPUESTA ECONOMICA(Proponente)'!$C$21:$H$310,5,FALSE)</f>
        <v>Divisiones de Orinales en láminas de acero Galvanizada Cal-20 y espesor de e3 mm  y con herrajes en acero inoxidable, (Incluye suministro e instalación)</v>
      </c>
      <c r="E2213" s="13"/>
      <c r="F2213" s="12"/>
      <c r="G2213" s="12"/>
      <c r="H2213" s="12"/>
      <c r="I2213" s="11" t="s">
        <v>400</v>
      </c>
      <c r="J2213" s="12" t="str">
        <f>+VLOOKUP('MEMORIAS DE CANTIDADES'!C2213,'PROPUESTA ECONOMICA(Proponente)'!$C$21:$H$310,6,FALSE)</f>
        <v>Und</v>
      </c>
      <c r="K2213" s="11" t="s">
        <v>401</v>
      </c>
      <c r="L2213" s="643">
        <f>SUM(L2214:L2221)</f>
        <v>24</v>
      </c>
    </row>
    <row r="2214" spans="2:12" ht="15">
      <c r="B2214" s="644"/>
      <c r="C2214" s="16"/>
      <c r="D2214" s="15"/>
      <c r="E2214" s="15"/>
      <c r="F2214" s="15"/>
      <c r="G2214" s="15"/>
      <c r="H2214" s="15"/>
      <c r="I2214" s="15"/>
      <c r="J2214" s="15"/>
      <c r="K2214" s="17"/>
      <c r="L2214" s="645"/>
    </row>
    <row r="2215" spans="2:12" ht="47.25">
      <c r="B2215" s="646" t="s">
        <v>402</v>
      </c>
      <c r="C2215" s="18" t="s">
        <v>403</v>
      </c>
      <c r="D2215" s="18" t="s">
        <v>404</v>
      </c>
      <c r="E2215" s="18" t="s">
        <v>405</v>
      </c>
      <c r="F2215" s="18" t="s">
        <v>406</v>
      </c>
      <c r="G2215" s="18" t="s">
        <v>407</v>
      </c>
      <c r="H2215" s="5" t="s">
        <v>408</v>
      </c>
      <c r="I2215" s="18" t="s">
        <v>409</v>
      </c>
      <c r="J2215" s="5" t="s">
        <v>410</v>
      </c>
      <c r="K2215" s="5" t="s">
        <v>411</v>
      </c>
      <c r="L2215" s="647" t="s">
        <v>412</v>
      </c>
    </row>
    <row r="2216" spans="2:12" ht="15.75">
      <c r="B2216" s="759" t="s">
        <v>734</v>
      </c>
      <c r="C2216" s="19"/>
      <c r="D2216" s="19"/>
      <c r="E2216" s="19"/>
      <c r="F2216" s="19"/>
      <c r="G2216" s="20"/>
      <c r="H2216" s="68"/>
      <c r="I2216" s="17">
        <v>12</v>
      </c>
      <c r="J2216" s="22"/>
      <c r="K2216" s="17"/>
      <c r="L2216" s="649">
        <f>PRODUCT(C2216:K2216)</f>
        <v>12</v>
      </c>
    </row>
    <row r="2217" spans="2:12" ht="15.75">
      <c r="B2217" s="759" t="s">
        <v>835</v>
      </c>
      <c r="C2217" s="20"/>
      <c r="D2217" s="19"/>
      <c r="E2217" s="19"/>
      <c r="F2217" s="19"/>
      <c r="G2217" s="20"/>
      <c r="H2217" s="68"/>
      <c r="I2217" s="17">
        <v>12</v>
      </c>
      <c r="J2217" s="24"/>
      <c r="K2217" s="17"/>
      <c r="L2217" s="649">
        <f t="shared" ref="L2217" si="170">PRODUCT(C2217:K2217)</f>
        <v>12</v>
      </c>
    </row>
    <row r="2218" spans="2:12" ht="15">
      <c r="B2218" s="650"/>
      <c r="C2218" s="20"/>
      <c r="D2218" s="20"/>
      <c r="E2218" s="20"/>
      <c r="F2218" s="20"/>
      <c r="G2218" s="20"/>
      <c r="H2218" s="19"/>
      <c r="I2218" s="20"/>
      <c r="J2218" s="24"/>
      <c r="K2218" s="17"/>
      <c r="L2218" s="649"/>
    </row>
    <row r="2219" spans="2:12" ht="15">
      <c r="B2219" s="650"/>
      <c r="C2219" s="20"/>
      <c r="D2219" s="20"/>
      <c r="E2219" s="20"/>
      <c r="F2219" s="20"/>
      <c r="G2219" s="20"/>
      <c r="H2219" s="19"/>
      <c r="I2219" s="20"/>
      <c r="J2219" s="24"/>
      <c r="K2219" s="17"/>
      <c r="L2219" s="649"/>
    </row>
    <row r="2220" spans="2:12" ht="15">
      <c r="B2220" s="650"/>
      <c r="C2220" s="20"/>
      <c r="D2220" s="20"/>
      <c r="E2220" s="20"/>
      <c r="F2220" s="20"/>
      <c r="G2220" s="20"/>
      <c r="H2220" s="19"/>
      <c r="I2220" s="20"/>
      <c r="J2220" s="24"/>
      <c r="K2220" s="17"/>
      <c r="L2220" s="649"/>
    </row>
    <row r="2221" spans="2:12" ht="15.75">
      <c r="B2221" s="1002" t="s">
        <v>414</v>
      </c>
      <c r="C2221" s="1003"/>
      <c r="D2221" s="1003"/>
      <c r="E2221" s="1003"/>
      <c r="F2221" s="1003"/>
      <c r="G2221" s="1003"/>
      <c r="H2221" s="1003"/>
      <c r="I2221" s="1003"/>
      <c r="J2221" s="1003"/>
      <c r="K2221" s="1003"/>
      <c r="L2221" s="1004"/>
    </row>
    <row r="2222" spans="2:12" ht="15.75">
      <c r="B2222" s="756"/>
      <c r="C2222" s="757"/>
      <c r="D2222" s="757"/>
      <c r="E2222" s="757"/>
      <c r="F2222" s="757"/>
      <c r="G2222" s="757"/>
      <c r="H2222" s="757"/>
      <c r="I2222" s="757"/>
      <c r="J2222" s="757"/>
      <c r="K2222" s="757"/>
      <c r="L2222" s="758"/>
    </row>
    <row r="2223" spans="2:12">
      <c r="B2223" s="651"/>
      <c r="L2223" s="652"/>
    </row>
    <row r="2224" spans="2:12" ht="15.75">
      <c r="B2224" s="638" t="s">
        <v>398</v>
      </c>
      <c r="C2224" s="8">
        <v>11</v>
      </c>
      <c r="D2224" s="9" t="s">
        <v>1034</v>
      </c>
      <c r="E2224" s="9"/>
      <c r="F2224" s="9"/>
      <c r="G2224" s="9"/>
      <c r="H2224" s="9"/>
      <c r="I2224" s="9"/>
      <c r="J2224" s="9"/>
      <c r="K2224" s="10"/>
      <c r="L2224" s="639"/>
    </row>
    <row r="2225" spans="2:12" ht="15">
      <c r="B2225" s="1005"/>
      <c r="C2225" s="1006"/>
      <c r="D2225" s="1006"/>
      <c r="E2225" s="1006"/>
      <c r="F2225" s="1006"/>
      <c r="G2225" s="1006"/>
      <c r="H2225" s="1006"/>
      <c r="I2225" s="1006"/>
      <c r="J2225" s="1006"/>
      <c r="K2225" s="1006"/>
      <c r="L2225" s="1007"/>
    </row>
    <row r="2226" spans="2:12" ht="47.25">
      <c r="B2226" s="642" t="s">
        <v>399</v>
      </c>
      <c r="C2226" s="25">
        <f>+'PROPUESTA ECONOMICA(Proponente)'!C194</f>
        <v>11.1</v>
      </c>
      <c r="D2226" s="12" t="str">
        <f>+VLOOKUP('MEMORIAS DE CANTIDADES'!C2226,'PROPUESTA ECONOMICA(Proponente)'!$C$21:$H$310,5,FALSE)</f>
        <v>Lavamanos de empotrar tipo san lorenzo de corona o similar, (incluye grifería, suministro e instalación).</v>
      </c>
      <c r="E2226" s="13"/>
      <c r="F2226" s="12"/>
      <c r="G2226" s="12"/>
      <c r="H2226" s="12"/>
      <c r="I2226" s="11" t="s">
        <v>400</v>
      </c>
      <c r="J2226" s="12" t="str">
        <f>+VLOOKUP('MEMORIAS DE CANTIDADES'!C2226,'PROPUESTA ECONOMICA(Proponente)'!$C$21:$H$310,6,FALSE)</f>
        <v>Und</v>
      </c>
      <c r="K2226" s="11" t="s">
        <v>401</v>
      </c>
      <c r="L2226" s="643">
        <f>SUM(L2227:L2234)</f>
        <v>55</v>
      </c>
    </row>
    <row r="2227" spans="2:12" ht="15">
      <c r="B2227" s="644"/>
      <c r="C2227" s="16"/>
      <c r="D2227" s="15"/>
      <c r="E2227" s="15"/>
      <c r="F2227" s="15"/>
      <c r="G2227" s="15"/>
      <c r="H2227" s="15"/>
      <c r="I2227" s="15"/>
      <c r="J2227" s="15"/>
      <c r="K2227" s="17"/>
      <c r="L2227" s="645"/>
    </row>
    <row r="2228" spans="2:12" ht="47.25">
      <c r="B2228" s="646" t="s">
        <v>402</v>
      </c>
      <c r="C2228" s="18" t="s">
        <v>403</v>
      </c>
      <c r="D2228" s="18" t="s">
        <v>404</v>
      </c>
      <c r="E2228" s="18" t="s">
        <v>405</v>
      </c>
      <c r="F2228" s="18" t="s">
        <v>406</v>
      </c>
      <c r="G2228" s="18" t="s">
        <v>407</v>
      </c>
      <c r="H2228" s="5" t="s">
        <v>408</v>
      </c>
      <c r="I2228" s="18" t="s">
        <v>409</v>
      </c>
      <c r="J2228" s="5" t="s">
        <v>410</v>
      </c>
      <c r="K2228" s="5" t="s">
        <v>411</v>
      </c>
      <c r="L2228" s="647" t="s">
        <v>412</v>
      </c>
    </row>
    <row r="2229" spans="2:12" ht="15.75">
      <c r="B2229" s="759" t="s">
        <v>734</v>
      </c>
      <c r="C2229" s="19"/>
      <c r="D2229" s="19"/>
      <c r="E2229" s="19"/>
      <c r="F2229" s="19"/>
      <c r="G2229" s="20"/>
      <c r="H2229" s="68"/>
      <c r="I2229" s="17">
        <v>29</v>
      </c>
      <c r="J2229" s="22"/>
      <c r="K2229" s="17"/>
      <c r="L2229" s="649">
        <f>PRODUCT(C2229:K2229)</f>
        <v>29</v>
      </c>
    </row>
    <row r="2230" spans="2:12" ht="15.75">
      <c r="B2230" s="759" t="s">
        <v>835</v>
      </c>
      <c r="C2230" s="20"/>
      <c r="D2230" s="19"/>
      <c r="E2230" s="19"/>
      <c r="F2230" s="19"/>
      <c r="G2230" s="20"/>
      <c r="H2230" s="68"/>
      <c r="I2230" s="17">
        <f>8+16</f>
        <v>24</v>
      </c>
      <c r="J2230" s="24"/>
      <c r="K2230" s="17"/>
      <c r="L2230" s="649">
        <f t="shared" ref="L2230:L2231" si="171">PRODUCT(C2230:K2230)</f>
        <v>24</v>
      </c>
    </row>
    <row r="2231" spans="2:12" ht="15.75">
      <c r="B2231" s="760" t="s">
        <v>555</v>
      </c>
      <c r="C2231" s="20"/>
      <c r="D2231" s="20"/>
      <c r="E2231" s="20"/>
      <c r="F2231" s="20"/>
      <c r="G2231" s="20"/>
      <c r="H2231" s="19"/>
      <c r="I2231" s="20">
        <v>1</v>
      </c>
      <c r="J2231" s="24">
        <v>2</v>
      </c>
      <c r="K2231" s="17"/>
      <c r="L2231" s="649">
        <f t="shared" si="171"/>
        <v>2</v>
      </c>
    </row>
    <row r="2232" spans="2:12" ht="15.75">
      <c r="B2232" s="760"/>
      <c r="C2232" s="20"/>
      <c r="D2232" s="20"/>
      <c r="E2232" s="20"/>
      <c r="F2232" s="20"/>
      <c r="G2232" s="20"/>
      <c r="H2232" s="19"/>
      <c r="I2232" s="20"/>
      <c r="J2232" s="24"/>
      <c r="K2232" s="17"/>
      <c r="L2232" s="649"/>
    </row>
    <row r="2233" spans="2:12" ht="15.75">
      <c r="B2233" s="760"/>
      <c r="C2233" s="20"/>
      <c r="D2233" s="20"/>
      <c r="E2233" s="20"/>
      <c r="F2233" s="20"/>
      <c r="G2233" s="20"/>
      <c r="H2233" s="19"/>
      <c r="I2233" s="20"/>
      <c r="J2233" s="24"/>
      <c r="K2233" s="17"/>
      <c r="L2233" s="649"/>
    </row>
    <row r="2234" spans="2:12" ht="15.75">
      <c r="B2234" s="1002" t="s">
        <v>414</v>
      </c>
      <c r="C2234" s="1003"/>
      <c r="D2234" s="1003"/>
      <c r="E2234" s="1003"/>
      <c r="F2234" s="1003"/>
      <c r="G2234" s="1003"/>
      <c r="H2234" s="1003"/>
      <c r="I2234" s="1003"/>
      <c r="J2234" s="1003"/>
      <c r="K2234" s="1003"/>
      <c r="L2234" s="1004"/>
    </row>
    <row r="2235" spans="2:12">
      <c r="B2235" s="651"/>
      <c r="L2235" s="652"/>
    </row>
    <row r="2236" spans="2:12" ht="15.75">
      <c r="B2236" s="638" t="s">
        <v>398</v>
      </c>
      <c r="C2236" s="8">
        <v>11</v>
      </c>
      <c r="D2236" s="9" t="s">
        <v>1034</v>
      </c>
      <c r="E2236" s="9"/>
      <c r="F2236" s="9"/>
      <c r="G2236" s="9"/>
      <c r="H2236" s="9"/>
      <c r="I2236" s="9"/>
      <c r="J2236" s="9"/>
      <c r="K2236" s="10"/>
      <c r="L2236" s="639"/>
    </row>
    <row r="2237" spans="2:12" ht="15">
      <c r="B2237" s="1005"/>
      <c r="C2237" s="1006"/>
      <c r="D2237" s="1006"/>
      <c r="E2237" s="1006"/>
      <c r="F2237" s="1006"/>
      <c r="G2237" s="1006"/>
      <c r="H2237" s="1006"/>
      <c r="I2237" s="1006"/>
      <c r="J2237" s="1006"/>
      <c r="K2237" s="1006"/>
      <c r="L2237" s="1007"/>
    </row>
    <row r="2238" spans="2:12" ht="31.5">
      <c r="B2238" s="642" t="s">
        <v>399</v>
      </c>
      <c r="C2238" s="25">
        <f>+'PROPUESTA ECONOMICA(Proponente)'!C195</f>
        <v>11.2</v>
      </c>
      <c r="D2238" s="12" t="str">
        <f>+VLOOKUP('MEMORIAS DE CANTIDADES'!C2238,'PROPUESTA ECONOMICA(Proponente)'!$C$21:$H$310,5,FALSE)</f>
        <v>Suministro instalación de orinales Colgantes de uso institucional  incluye grifería y acceso</v>
      </c>
      <c r="E2238" s="13"/>
      <c r="F2238" s="12"/>
      <c r="G2238" s="12"/>
      <c r="H2238" s="12"/>
      <c r="I2238" s="11" t="s">
        <v>400</v>
      </c>
      <c r="J2238" s="12" t="str">
        <f>+VLOOKUP('MEMORIAS DE CANTIDADES'!C2238,'PROPUESTA ECONOMICA(Proponente)'!$C$21:$H$310,6,FALSE)</f>
        <v>Und</v>
      </c>
      <c r="K2238" s="11" t="s">
        <v>401</v>
      </c>
      <c r="L2238" s="643">
        <f>SUM(L2239:L2246)</f>
        <v>44</v>
      </c>
    </row>
    <row r="2239" spans="2:12" ht="15">
      <c r="B2239" s="644"/>
      <c r="C2239" s="16"/>
      <c r="D2239" s="15"/>
      <c r="E2239" s="15"/>
      <c r="F2239" s="15"/>
      <c r="G2239" s="15"/>
      <c r="H2239" s="15"/>
      <c r="I2239" s="15"/>
      <c r="J2239" s="15"/>
      <c r="K2239" s="17"/>
      <c r="L2239" s="645"/>
    </row>
    <row r="2240" spans="2:12" ht="47.25">
      <c r="B2240" s="646" t="s">
        <v>402</v>
      </c>
      <c r="C2240" s="18" t="s">
        <v>403</v>
      </c>
      <c r="D2240" s="18" t="s">
        <v>404</v>
      </c>
      <c r="E2240" s="18" t="s">
        <v>405</v>
      </c>
      <c r="F2240" s="18" t="s">
        <v>406</v>
      </c>
      <c r="G2240" s="18" t="s">
        <v>407</v>
      </c>
      <c r="H2240" s="5" t="s">
        <v>408</v>
      </c>
      <c r="I2240" s="18" t="s">
        <v>409</v>
      </c>
      <c r="J2240" s="5" t="s">
        <v>410</v>
      </c>
      <c r="K2240" s="5" t="s">
        <v>411</v>
      </c>
      <c r="L2240" s="647" t="s">
        <v>412</v>
      </c>
    </row>
    <row r="2241" spans="2:12" ht="15.75">
      <c r="B2241" s="759" t="s">
        <v>734</v>
      </c>
      <c r="C2241" s="19"/>
      <c r="D2241" s="19"/>
      <c r="E2241" s="19"/>
      <c r="F2241" s="19"/>
      <c r="G2241" s="20"/>
      <c r="H2241" s="68"/>
      <c r="I2241" s="17">
        <v>16</v>
      </c>
      <c r="J2241" s="22"/>
      <c r="K2241" s="17"/>
      <c r="L2241" s="649">
        <f>PRODUCT(C2241:K2241)</f>
        <v>16</v>
      </c>
    </row>
    <row r="2242" spans="2:12" ht="15.75">
      <c r="B2242" s="759" t="s">
        <v>835</v>
      </c>
      <c r="C2242" s="20"/>
      <c r="D2242" s="19"/>
      <c r="E2242" s="19"/>
      <c r="F2242" s="19"/>
      <c r="G2242" s="20"/>
      <c r="H2242" s="68"/>
      <c r="I2242" s="17">
        <v>16</v>
      </c>
      <c r="J2242" s="24"/>
      <c r="K2242" s="17"/>
      <c r="L2242" s="649">
        <f t="shared" ref="L2242:L2243" si="172">PRODUCT(C2242:K2242)</f>
        <v>16</v>
      </c>
    </row>
    <row r="2243" spans="2:12" ht="15.75">
      <c r="B2243" s="759" t="s">
        <v>782</v>
      </c>
      <c r="C2243" s="20"/>
      <c r="D2243" s="20"/>
      <c r="E2243" s="20"/>
      <c r="F2243" s="20"/>
      <c r="G2243" s="20"/>
      <c r="H2243" s="20"/>
      <c r="I2243" s="20">
        <v>12</v>
      </c>
      <c r="J2243" s="24"/>
      <c r="K2243" s="17"/>
      <c r="L2243" s="649">
        <f t="shared" si="172"/>
        <v>12</v>
      </c>
    </row>
    <row r="2244" spans="2:12" ht="15.75">
      <c r="B2244" s="759"/>
      <c r="C2244" s="20"/>
      <c r="D2244" s="20"/>
      <c r="E2244" s="20"/>
      <c r="F2244" s="20"/>
      <c r="G2244" s="20"/>
      <c r="H2244" s="20"/>
      <c r="I2244" s="20"/>
      <c r="J2244" s="24"/>
      <c r="K2244" s="17"/>
      <c r="L2244" s="649"/>
    </row>
    <row r="2245" spans="2:12" ht="15.75">
      <c r="B2245" s="759"/>
      <c r="C2245" s="20"/>
      <c r="D2245" s="20"/>
      <c r="E2245" s="20"/>
      <c r="F2245" s="20"/>
      <c r="G2245" s="20"/>
      <c r="H2245" s="20"/>
      <c r="I2245" s="20"/>
      <c r="J2245" s="24"/>
      <c r="K2245" s="17"/>
      <c r="L2245" s="649"/>
    </row>
    <row r="2246" spans="2:12" ht="15.75">
      <c r="B2246" s="1002" t="s">
        <v>414</v>
      </c>
      <c r="C2246" s="1003"/>
      <c r="D2246" s="1003"/>
      <c r="E2246" s="1003"/>
      <c r="F2246" s="1003"/>
      <c r="G2246" s="1003"/>
      <c r="H2246" s="1003"/>
      <c r="I2246" s="1003"/>
      <c r="J2246" s="1003"/>
      <c r="K2246" s="1003"/>
      <c r="L2246" s="1004"/>
    </row>
    <row r="2247" spans="2:12">
      <c r="B2247" s="651"/>
      <c r="L2247" s="652"/>
    </row>
    <row r="2248" spans="2:12" ht="15.75">
      <c r="B2248" s="638" t="s">
        <v>398</v>
      </c>
      <c r="C2248" s="8">
        <v>11</v>
      </c>
      <c r="D2248" s="9" t="s">
        <v>1034</v>
      </c>
      <c r="E2248" s="9"/>
      <c r="F2248" s="9"/>
      <c r="G2248" s="9"/>
      <c r="H2248" s="9"/>
      <c r="I2248" s="9"/>
      <c r="J2248" s="9"/>
      <c r="K2248" s="10"/>
      <c r="L2248" s="639"/>
    </row>
    <row r="2249" spans="2:12" ht="15">
      <c r="B2249" s="1005"/>
      <c r="C2249" s="1006"/>
      <c r="D2249" s="1006"/>
      <c r="E2249" s="1006"/>
      <c r="F2249" s="1006"/>
      <c r="G2249" s="1006"/>
      <c r="H2249" s="1006"/>
      <c r="I2249" s="1006"/>
      <c r="J2249" s="1006"/>
      <c r="K2249" s="1006"/>
      <c r="L2249" s="1007"/>
    </row>
    <row r="2250" spans="2:12" ht="31.5">
      <c r="B2250" s="642" t="s">
        <v>399</v>
      </c>
      <c r="C2250" s="25">
        <f>+'PROPUESTA ECONOMICA(Proponente)'!C196</f>
        <v>11.3</v>
      </c>
      <c r="D2250" s="12" t="str">
        <f>+VLOOKUP('MEMORIAS DE CANTIDADES'!C2250,'PROPUESTA ECONOMICA(Proponente)'!$C$21:$H$310,5,FALSE)</f>
        <v>Sanitario de tanque color blanco tipo corona o similar, línea institucional</v>
      </c>
      <c r="E2250" s="13"/>
      <c r="F2250" s="12"/>
      <c r="G2250" s="12"/>
      <c r="H2250" s="12"/>
      <c r="I2250" s="11" t="s">
        <v>400</v>
      </c>
      <c r="J2250" s="12" t="str">
        <f>+VLOOKUP('MEMORIAS DE CANTIDADES'!C2250,'PROPUESTA ECONOMICA(Proponente)'!$C$21:$H$310,6,FALSE)</f>
        <v>Und</v>
      </c>
      <c r="K2250" s="11" t="s">
        <v>401</v>
      </c>
      <c r="L2250" s="643">
        <f>SUM(L2251:L2258)</f>
        <v>52</v>
      </c>
    </row>
    <row r="2251" spans="2:12" ht="15">
      <c r="B2251" s="644"/>
      <c r="C2251" s="16"/>
      <c r="D2251" s="15"/>
      <c r="E2251" s="15"/>
      <c r="F2251" s="15"/>
      <c r="G2251" s="15"/>
      <c r="H2251" s="15"/>
      <c r="I2251" s="15"/>
      <c r="J2251" s="15"/>
      <c r="K2251" s="17"/>
      <c r="L2251" s="645"/>
    </row>
    <row r="2252" spans="2:12" ht="47.25">
      <c r="B2252" s="646" t="s">
        <v>402</v>
      </c>
      <c r="C2252" s="18" t="s">
        <v>403</v>
      </c>
      <c r="D2252" s="18" t="s">
        <v>404</v>
      </c>
      <c r="E2252" s="18" t="s">
        <v>405</v>
      </c>
      <c r="F2252" s="18" t="s">
        <v>406</v>
      </c>
      <c r="G2252" s="18" t="s">
        <v>407</v>
      </c>
      <c r="H2252" s="5" t="s">
        <v>408</v>
      </c>
      <c r="I2252" s="18" t="s">
        <v>409</v>
      </c>
      <c r="J2252" s="5" t="s">
        <v>410</v>
      </c>
      <c r="K2252" s="5" t="s">
        <v>411</v>
      </c>
      <c r="L2252" s="647" t="s">
        <v>412</v>
      </c>
    </row>
    <row r="2253" spans="2:12" ht="15.75">
      <c r="B2253" s="759" t="s">
        <v>734</v>
      </c>
      <c r="C2253" s="19"/>
      <c r="D2253" s="19"/>
      <c r="E2253" s="19"/>
      <c r="F2253" s="19"/>
      <c r="G2253" s="20"/>
      <c r="H2253" s="68"/>
      <c r="I2253" s="17"/>
      <c r="J2253" s="17">
        <v>21</v>
      </c>
      <c r="K2253" s="17"/>
      <c r="L2253" s="649">
        <f>PRODUCT(C2253:K2253)</f>
        <v>21</v>
      </c>
    </row>
    <row r="2254" spans="2:12" ht="15.75">
      <c r="B2254" s="759" t="s">
        <v>835</v>
      </c>
      <c r="C2254" s="20"/>
      <c r="D2254" s="19"/>
      <c r="E2254" s="19"/>
      <c r="F2254" s="19"/>
      <c r="G2254" s="20"/>
      <c r="H2254" s="68"/>
      <c r="I2254" s="17"/>
      <c r="J2254" s="20">
        <v>28</v>
      </c>
      <c r="K2254" s="17"/>
      <c r="L2254" s="649">
        <f t="shared" ref="L2254:L2255" si="173">PRODUCT(C2254:K2254)</f>
        <v>28</v>
      </c>
    </row>
    <row r="2255" spans="2:12" ht="15.75">
      <c r="B2255" s="760" t="s">
        <v>555</v>
      </c>
      <c r="C2255" s="20"/>
      <c r="D2255" s="20"/>
      <c r="E2255" s="20"/>
      <c r="F2255" s="20"/>
      <c r="G2255" s="20"/>
      <c r="H2255" s="19"/>
      <c r="I2255" s="20"/>
      <c r="J2255" s="20">
        <v>1</v>
      </c>
      <c r="K2255" s="17">
        <v>3</v>
      </c>
      <c r="L2255" s="649">
        <f t="shared" si="173"/>
        <v>3</v>
      </c>
    </row>
    <row r="2256" spans="2:12" ht="15.75">
      <c r="B2256" s="760"/>
      <c r="C2256" s="20"/>
      <c r="D2256" s="20"/>
      <c r="E2256" s="20"/>
      <c r="F2256" s="20"/>
      <c r="G2256" s="20"/>
      <c r="H2256" s="19"/>
      <c r="I2256" s="20"/>
      <c r="J2256" s="19"/>
      <c r="K2256" s="17"/>
      <c r="L2256" s="649"/>
    </row>
    <row r="2257" spans="2:12" ht="15.75">
      <c r="B2257" s="760"/>
      <c r="C2257" s="20"/>
      <c r="D2257" s="20"/>
      <c r="E2257" s="20"/>
      <c r="F2257" s="20"/>
      <c r="G2257" s="20"/>
      <c r="H2257" s="19"/>
      <c r="I2257" s="20"/>
      <c r="J2257" s="19"/>
      <c r="K2257" s="17"/>
      <c r="L2257" s="649"/>
    </row>
    <row r="2258" spans="2:12" ht="15.75">
      <c r="B2258" s="1002" t="s">
        <v>414</v>
      </c>
      <c r="C2258" s="1003"/>
      <c r="D2258" s="1003"/>
      <c r="E2258" s="1003"/>
      <c r="F2258" s="1003"/>
      <c r="G2258" s="1003"/>
      <c r="H2258" s="1003"/>
      <c r="I2258" s="1003"/>
      <c r="J2258" s="1003"/>
      <c r="K2258" s="1003"/>
      <c r="L2258" s="1004"/>
    </row>
    <row r="2259" spans="2:12">
      <c r="B2259" s="651"/>
      <c r="L2259" s="652"/>
    </row>
    <row r="2260" spans="2:12" ht="15.75">
      <c r="B2260" s="638" t="s">
        <v>398</v>
      </c>
      <c r="C2260" s="8">
        <v>11</v>
      </c>
      <c r="D2260" s="9" t="s">
        <v>1034</v>
      </c>
      <c r="E2260" s="9"/>
      <c r="F2260" s="9"/>
      <c r="G2260" s="9"/>
      <c r="H2260" s="9"/>
      <c r="I2260" s="9"/>
      <c r="J2260" s="9"/>
      <c r="K2260" s="10"/>
      <c r="L2260" s="639"/>
    </row>
    <row r="2261" spans="2:12" ht="15">
      <c r="B2261" s="1005"/>
      <c r="C2261" s="1006"/>
      <c r="D2261" s="1006"/>
      <c r="E2261" s="1006"/>
      <c r="F2261" s="1006"/>
      <c r="G2261" s="1006"/>
      <c r="H2261" s="1006"/>
      <c r="I2261" s="1006"/>
      <c r="J2261" s="1006"/>
      <c r="K2261" s="1006"/>
      <c r="L2261" s="1007"/>
    </row>
    <row r="2262" spans="2:12" ht="31.5">
      <c r="B2262" s="642" t="s">
        <v>399</v>
      </c>
      <c r="C2262" s="25">
        <f>+'PROPUESTA ECONOMICA(Proponente)'!C197</f>
        <v>11.4</v>
      </c>
      <c r="D2262" s="12" t="str">
        <f>+VLOOKUP('MEMORIAS DE CANTIDADES'!C2262,'PROPUESTA ECONOMICA(Proponente)'!$C$21:$H$310,5,FALSE)</f>
        <v>Sanitario para discapacitados color blanco tipo corona o similar, línea institucional</v>
      </c>
      <c r="E2262" s="13"/>
      <c r="F2262" s="12"/>
      <c r="G2262" s="12"/>
      <c r="H2262" s="12"/>
      <c r="I2262" s="11" t="s">
        <v>400</v>
      </c>
      <c r="J2262" s="12" t="str">
        <f>+VLOOKUP('MEMORIAS DE CANTIDADES'!C2262,'PROPUESTA ECONOMICA(Proponente)'!$C$21:$H$310,6,FALSE)</f>
        <v>Und</v>
      </c>
      <c r="K2262" s="11" t="s">
        <v>401</v>
      </c>
      <c r="L2262" s="643">
        <f>SUM(L2263:L2271)</f>
        <v>6</v>
      </c>
    </row>
    <row r="2263" spans="2:12" ht="15">
      <c r="B2263" s="644"/>
      <c r="C2263" s="16"/>
      <c r="D2263" s="15"/>
      <c r="E2263" s="15"/>
      <c r="F2263" s="15"/>
      <c r="G2263" s="15"/>
      <c r="H2263" s="15"/>
      <c r="I2263" s="15"/>
      <c r="J2263" s="15"/>
      <c r="K2263" s="17"/>
      <c r="L2263" s="645"/>
    </row>
    <row r="2264" spans="2:12" ht="47.25">
      <c r="B2264" s="646" t="s">
        <v>402</v>
      </c>
      <c r="C2264" s="18" t="s">
        <v>403</v>
      </c>
      <c r="D2264" s="18" t="s">
        <v>404</v>
      </c>
      <c r="E2264" s="18" t="s">
        <v>405</v>
      </c>
      <c r="F2264" s="18" t="s">
        <v>406</v>
      </c>
      <c r="G2264" s="18" t="s">
        <v>407</v>
      </c>
      <c r="H2264" s="5" t="s">
        <v>408</v>
      </c>
      <c r="I2264" s="18" t="s">
        <v>409</v>
      </c>
      <c r="J2264" s="5" t="s">
        <v>410</v>
      </c>
      <c r="K2264" s="5" t="s">
        <v>411</v>
      </c>
      <c r="L2264" s="647" t="s">
        <v>412</v>
      </c>
    </row>
    <row r="2265" spans="2:12" ht="15.75">
      <c r="B2265" s="759" t="s">
        <v>734</v>
      </c>
      <c r="C2265" s="19"/>
      <c r="D2265" s="19"/>
      <c r="E2265" s="19"/>
      <c r="F2265" s="19"/>
      <c r="G2265" s="20"/>
      <c r="H2265" s="68"/>
      <c r="I2265" s="17"/>
      <c r="J2265" s="28">
        <v>2</v>
      </c>
      <c r="K2265" s="17"/>
      <c r="L2265" s="649">
        <f>PRODUCT(C2265:K2265)</f>
        <v>2</v>
      </c>
    </row>
    <row r="2266" spans="2:12" ht="15.75">
      <c r="B2266" s="759" t="s">
        <v>835</v>
      </c>
      <c r="C2266" s="20"/>
      <c r="D2266" s="19"/>
      <c r="E2266" s="19"/>
      <c r="F2266" s="19"/>
      <c r="G2266" s="20"/>
      <c r="H2266" s="68"/>
      <c r="I2266" s="17"/>
      <c r="J2266" s="19">
        <v>4</v>
      </c>
      <c r="K2266" s="17"/>
      <c r="L2266" s="649">
        <f t="shared" ref="L2266" si="174">PRODUCT(C2266:K2266)</f>
        <v>4</v>
      </c>
    </row>
    <row r="2267" spans="2:12" ht="15.75">
      <c r="B2267" s="760" t="s">
        <v>555</v>
      </c>
      <c r="C2267" s="20"/>
      <c r="D2267" s="20"/>
      <c r="E2267" s="20"/>
      <c r="F2267" s="20"/>
      <c r="G2267" s="20"/>
      <c r="H2267" s="19"/>
      <c r="I2267" s="20"/>
      <c r="J2267" s="19"/>
      <c r="K2267" s="17"/>
      <c r="L2267" s="649"/>
    </row>
    <row r="2268" spans="2:12" ht="15.75">
      <c r="B2268" s="760"/>
      <c r="C2268" s="20"/>
      <c r="D2268" s="20"/>
      <c r="E2268" s="20"/>
      <c r="F2268" s="20"/>
      <c r="G2268" s="20"/>
      <c r="H2268" s="19"/>
      <c r="I2268" s="20"/>
      <c r="J2268" s="19"/>
      <c r="K2268" s="17"/>
      <c r="L2268" s="649"/>
    </row>
    <row r="2269" spans="2:12" ht="15.75">
      <c r="B2269" s="760"/>
      <c r="C2269" s="20"/>
      <c r="D2269" s="20"/>
      <c r="E2269" s="20"/>
      <c r="F2269" s="20"/>
      <c r="G2269" s="20"/>
      <c r="H2269" s="19"/>
      <c r="I2269" s="20"/>
      <c r="J2269" s="19"/>
      <c r="K2269" s="17"/>
      <c r="L2269" s="649"/>
    </row>
    <row r="2270" spans="2:12" ht="15.75">
      <c r="B2270" s="760"/>
      <c r="C2270" s="20"/>
      <c r="D2270" s="20"/>
      <c r="E2270" s="20"/>
      <c r="F2270" s="20"/>
      <c r="G2270" s="20"/>
      <c r="H2270" s="19"/>
      <c r="I2270" s="20"/>
      <c r="J2270" s="19"/>
      <c r="K2270" s="17"/>
      <c r="L2270" s="649"/>
    </row>
    <row r="2271" spans="2:12" ht="15.75">
      <c r="B2271" s="1002" t="s">
        <v>414</v>
      </c>
      <c r="C2271" s="1003"/>
      <c r="D2271" s="1003"/>
      <c r="E2271" s="1003"/>
      <c r="F2271" s="1003"/>
      <c r="G2271" s="1003"/>
      <c r="H2271" s="1003"/>
      <c r="I2271" s="1003"/>
      <c r="J2271" s="1003"/>
      <c r="K2271" s="1003"/>
      <c r="L2271" s="1004"/>
    </row>
    <row r="2272" spans="2:12">
      <c r="B2272" s="651"/>
      <c r="L2272" s="652"/>
    </row>
    <row r="2273" spans="2:12" ht="15.75">
      <c r="B2273" s="638" t="s">
        <v>398</v>
      </c>
      <c r="C2273" s="8">
        <v>11</v>
      </c>
      <c r="D2273" s="9" t="s">
        <v>1034</v>
      </c>
      <c r="E2273" s="9"/>
      <c r="F2273" s="9"/>
      <c r="G2273" s="9"/>
      <c r="H2273" s="9"/>
      <c r="I2273" s="9"/>
      <c r="J2273" s="9"/>
      <c r="K2273" s="10"/>
      <c r="L2273" s="639"/>
    </row>
    <row r="2274" spans="2:12" ht="15">
      <c r="B2274" s="1005"/>
      <c r="C2274" s="1006"/>
      <c r="D2274" s="1006"/>
      <c r="E2274" s="1006"/>
      <c r="F2274" s="1006"/>
      <c r="G2274" s="1006"/>
      <c r="H2274" s="1006"/>
      <c r="I2274" s="1006"/>
      <c r="J2274" s="1006"/>
      <c r="K2274" s="1006"/>
      <c r="L2274" s="1007"/>
    </row>
    <row r="2275" spans="2:12" ht="31.5">
      <c r="B2275" s="642" t="s">
        <v>399</v>
      </c>
      <c r="C2275" s="25">
        <f>+'PROPUESTA ECONOMICA(Proponente)'!C198</f>
        <v>11.5</v>
      </c>
      <c r="D2275" s="12" t="str">
        <f>+VLOOKUP('MEMORIAS DE CANTIDADES'!C2275,'PROPUESTA ECONOMICA(Proponente)'!$C$21:$H$310,5,FALSE)</f>
        <v>Dispensador de toallas de papel en acero inoxidable</v>
      </c>
      <c r="E2275" s="13"/>
      <c r="F2275" s="12"/>
      <c r="G2275" s="12"/>
      <c r="H2275" s="12"/>
      <c r="I2275" s="11" t="s">
        <v>400</v>
      </c>
      <c r="J2275" s="12" t="str">
        <f>+VLOOKUP('MEMORIAS DE CANTIDADES'!C2275,'PROPUESTA ECONOMICA(Proponente)'!$C$21:$H$310,6,FALSE)</f>
        <v>Und</v>
      </c>
      <c r="K2275" s="11" t="s">
        <v>401</v>
      </c>
      <c r="L2275" s="643">
        <f>SUM(L2276:L2283)</f>
        <v>21</v>
      </c>
    </row>
    <row r="2276" spans="2:12" ht="15">
      <c r="B2276" s="644"/>
      <c r="C2276" s="16"/>
      <c r="D2276" s="15"/>
      <c r="E2276" s="15"/>
      <c r="F2276" s="15"/>
      <c r="G2276" s="15"/>
      <c r="H2276" s="15"/>
      <c r="I2276" s="15"/>
      <c r="J2276" s="15"/>
      <c r="K2276" s="17"/>
      <c r="L2276" s="645"/>
    </row>
    <row r="2277" spans="2:12" ht="47.25">
      <c r="B2277" s="646" t="s">
        <v>402</v>
      </c>
      <c r="C2277" s="18" t="s">
        <v>403</v>
      </c>
      <c r="D2277" s="18" t="s">
        <v>404</v>
      </c>
      <c r="E2277" s="18" t="s">
        <v>405</v>
      </c>
      <c r="F2277" s="18" t="s">
        <v>406</v>
      </c>
      <c r="G2277" s="18" t="s">
        <v>407</v>
      </c>
      <c r="H2277" s="5" t="s">
        <v>408</v>
      </c>
      <c r="I2277" s="18" t="s">
        <v>409</v>
      </c>
      <c r="J2277" s="5" t="s">
        <v>410</v>
      </c>
      <c r="K2277" s="5" t="s">
        <v>411</v>
      </c>
      <c r="L2277" s="647" t="s">
        <v>412</v>
      </c>
    </row>
    <row r="2278" spans="2:12" ht="15.75">
      <c r="B2278" s="759" t="s">
        <v>734</v>
      </c>
      <c r="C2278" s="19"/>
      <c r="D2278" s="19"/>
      <c r="E2278" s="19"/>
      <c r="F2278" s="19"/>
      <c r="G2278" s="20"/>
      <c r="H2278" s="68"/>
      <c r="I2278" s="17">
        <v>9</v>
      </c>
      <c r="J2278" s="28"/>
      <c r="K2278" s="17"/>
      <c r="L2278" s="649">
        <f>PRODUCT(C2278:K2278)</f>
        <v>9</v>
      </c>
    </row>
    <row r="2279" spans="2:12" ht="15.75">
      <c r="B2279" s="759" t="s">
        <v>835</v>
      </c>
      <c r="C2279" s="20"/>
      <c r="D2279" s="19"/>
      <c r="E2279" s="19"/>
      <c r="F2279" s="19"/>
      <c r="G2279" s="20"/>
      <c r="H2279" s="68"/>
      <c r="I2279" s="17">
        <v>10</v>
      </c>
      <c r="J2279" s="19"/>
      <c r="K2279" s="17"/>
      <c r="L2279" s="649">
        <f t="shared" ref="L2279:L2280" si="175">PRODUCT(C2279:K2279)</f>
        <v>10</v>
      </c>
    </row>
    <row r="2280" spans="2:12" ht="15.75">
      <c r="B2280" s="760" t="s">
        <v>555</v>
      </c>
      <c r="C2280" s="20"/>
      <c r="D2280" s="20"/>
      <c r="E2280" s="20"/>
      <c r="F2280" s="20"/>
      <c r="G2280" s="20"/>
      <c r="H2280" s="19"/>
      <c r="I2280" s="20">
        <v>1</v>
      </c>
      <c r="J2280" s="19">
        <v>2</v>
      </c>
      <c r="K2280" s="17"/>
      <c r="L2280" s="649">
        <f t="shared" si="175"/>
        <v>2</v>
      </c>
    </row>
    <row r="2281" spans="2:12" ht="15.75">
      <c r="B2281" s="760"/>
      <c r="C2281" s="20"/>
      <c r="D2281" s="20"/>
      <c r="E2281" s="20"/>
      <c r="F2281" s="20"/>
      <c r="G2281" s="20"/>
      <c r="H2281" s="19"/>
      <c r="I2281" s="20"/>
      <c r="J2281" s="19"/>
      <c r="K2281" s="17"/>
      <c r="L2281" s="649"/>
    </row>
    <row r="2282" spans="2:12" ht="15.75">
      <c r="B2282" s="760"/>
      <c r="C2282" s="20"/>
      <c r="D2282" s="20"/>
      <c r="E2282" s="20"/>
      <c r="F2282" s="20"/>
      <c r="G2282" s="20"/>
      <c r="H2282" s="19"/>
      <c r="I2282" s="20"/>
      <c r="J2282" s="19"/>
      <c r="K2282" s="17"/>
      <c r="L2282" s="649"/>
    </row>
    <row r="2283" spans="2:12" ht="15.75">
      <c r="B2283" s="1002" t="s">
        <v>414</v>
      </c>
      <c r="C2283" s="1003"/>
      <c r="D2283" s="1003"/>
      <c r="E2283" s="1003"/>
      <c r="F2283" s="1003"/>
      <c r="G2283" s="1003"/>
      <c r="H2283" s="1003"/>
      <c r="I2283" s="1003"/>
      <c r="J2283" s="1003"/>
      <c r="K2283" s="1003"/>
      <c r="L2283" s="1004"/>
    </row>
    <row r="2284" spans="2:12">
      <c r="B2284" s="651"/>
      <c r="L2284" s="652"/>
    </row>
    <row r="2285" spans="2:12" ht="15.75">
      <c r="B2285" s="638" t="s">
        <v>398</v>
      </c>
      <c r="C2285" s="8">
        <v>11</v>
      </c>
      <c r="D2285" s="9" t="s">
        <v>1034</v>
      </c>
      <c r="E2285" s="9"/>
      <c r="F2285" s="9"/>
      <c r="G2285" s="9"/>
      <c r="H2285" s="9"/>
      <c r="I2285" s="9"/>
      <c r="J2285" s="9"/>
      <c r="K2285" s="10"/>
      <c r="L2285" s="639"/>
    </row>
    <row r="2286" spans="2:12" ht="15">
      <c r="B2286" s="1005"/>
      <c r="C2286" s="1006"/>
      <c r="D2286" s="1006"/>
      <c r="E2286" s="1006"/>
      <c r="F2286" s="1006"/>
      <c r="G2286" s="1006"/>
      <c r="H2286" s="1006"/>
      <c r="I2286" s="1006"/>
      <c r="J2286" s="1006"/>
      <c r="K2286" s="1006"/>
      <c r="L2286" s="1007"/>
    </row>
    <row r="2287" spans="2:12" ht="31.5">
      <c r="B2287" s="653" t="s">
        <v>399</v>
      </c>
      <c r="C2287" s="25">
        <f>+'PROPUESTA ECONOMICA(Proponente)'!C199</f>
        <v>11.6</v>
      </c>
      <c r="D2287" s="12" t="str">
        <f>+VLOOKUP('MEMORIAS DE CANTIDADES'!C2287,'PROPUESTA ECONOMICA(Proponente)'!$C$21:$H$310,5,FALSE)</f>
        <v>Dispensador de jabón liquido en acero inoxidable</v>
      </c>
      <c r="E2287" s="13"/>
      <c r="F2287" s="12"/>
      <c r="G2287" s="12"/>
      <c r="H2287" s="12"/>
      <c r="I2287" s="11" t="s">
        <v>400</v>
      </c>
      <c r="J2287" s="12" t="str">
        <f>+VLOOKUP('MEMORIAS DE CANTIDADES'!C2287,'PROPUESTA ECONOMICA(Proponente)'!$C$21:$H$310,6,FALSE)</f>
        <v>Und</v>
      </c>
      <c r="K2287" s="11" t="s">
        <v>401</v>
      </c>
      <c r="L2287" s="643">
        <f>SUM(L2288:L2295)</f>
        <v>21</v>
      </c>
    </row>
    <row r="2288" spans="2:12" ht="15">
      <c r="B2288" s="644"/>
      <c r="C2288" s="16"/>
      <c r="D2288" s="15"/>
      <c r="E2288" s="15"/>
      <c r="F2288" s="15"/>
      <c r="G2288" s="15"/>
      <c r="H2288" s="15"/>
      <c r="I2288" s="15"/>
      <c r="J2288" s="15"/>
      <c r="K2288" s="17"/>
      <c r="L2288" s="645"/>
    </row>
    <row r="2289" spans="2:12" ht="47.25">
      <c r="B2289" s="642" t="s">
        <v>402</v>
      </c>
      <c r="C2289" s="18" t="s">
        <v>403</v>
      </c>
      <c r="D2289" s="18" t="s">
        <v>404</v>
      </c>
      <c r="E2289" s="18" t="s">
        <v>405</v>
      </c>
      <c r="F2289" s="18" t="s">
        <v>406</v>
      </c>
      <c r="G2289" s="18" t="s">
        <v>407</v>
      </c>
      <c r="H2289" s="5" t="s">
        <v>408</v>
      </c>
      <c r="I2289" s="18" t="s">
        <v>409</v>
      </c>
      <c r="J2289" s="5" t="s">
        <v>410</v>
      </c>
      <c r="K2289" s="5" t="s">
        <v>411</v>
      </c>
      <c r="L2289" s="647" t="s">
        <v>412</v>
      </c>
    </row>
    <row r="2290" spans="2:12" ht="15.75">
      <c r="B2290" s="759" t="s">
        <v>734</v>
      </c>
      <c r="C2290" s="19"/>
      <c r="D2290" s="19"/>
      <c r="E2290" s="19"/>
      <c r="F2290" s="19"/>
      <c r="G2290" s="20"/>
      <c r="H2290" s="68"/>
      <c r="I2290" s="28">
        <v>9</v>
      </c>
      <c r="J2290" s="28"/>
      <c r="K2290" s="17"/>
      <c r="L2290" s="649">
        <f>PRODUCT(C2290:K2290)</f>
        <v>9</v>
      </c>
    </row>
    <row r="2291" spans="2:12" ht="15.75">
      <c r="B2291" s="759" t="s">
        <v>835</v>
      </c>
      <c r="C2291" s="20"/>
      <c r="D2291" s="19"/>
      <c r="E2291" s="19"/>
      <c r="F2291" s="19"/>
      <c r="G2291" s="20"/>
      <c r="H2291" s="68"/>
      <c r="I2291" s="28">
        <v>10</v>
      </c>
      <c r="J2291" s="19"/>
      <c r="K2291" s="17"/>
      <c r="L2291" s="649">
        <f t="shared" ref="L2291:L2292" si="176">PRODUCT(C2291:K2291)</f>
        <v>10</v>
      </c>
    </row>
    <row r="2292" spans="2:12" ht="15.75">
      <c r="B2292" s="760" t="s">
        <v>555</v>
      </c>
      <c r="C2292" s="20"/>
      <c r="D2292" s="20"/>
      <c r="E2292" s="20"/>
      <c r="F2292" s="20"/>
      <c r="G2292" s="20"/>
      <c r="H2292" s="19"/>
      <c r="I2292" s="20">
        <v>1</v>
      </c>
      <c r="J2292" s="19">
        <v>2</v>
      </c>
      <c r="K2292" s="17"/>
      <c r="L2292" s="649">
        <f t="shared" si="176"/>
        <v>2</v>
      </c>
    </row>
    <row r="2293" spans="2:12" ht="15.75">
      <c r="B2293" s="760"/>
      <c r="C2293" s="20"/>
      <c r="D2293" s="20"/>
      <c r="E2293" s="20"/>
      <c r="F2293" s="20"/>
      <c r="G2293" s="20"/>
      <c r="H2293" s="19"/>
      <c r="I2293" s="20"/>
      <c r="J2293" s="19"/>
      <c r="K2293" s="17"/>
      <c r="L2293" s="649"/>
    </row>
    <row r="2294" spans="2:12" ht="15.75">
      <c r="B2294" s="760"/>
      <c r="C2294" s="20"/>
      <c r="D2294" s="20"/>
      <c r="E2294" s="20"/>
      <c r="F2294" s="20"/>
      <c r="G2294" s="20"/>
      <c r="H2294" s="19"/>
      <c r="I2294" s="20"/>
      <c r="J2294" s="19"/>
      <c r="K2294" s="17"/>
      <c r="L2294" s="649"/>
    </row>
    <row r="2295" spans="2:12" ht="15.75">
      <c r="B2295" s="1002" t="s">
        <v>414</v>
      </c>
      <c r="C2295" s="1003"/>
      <c r="D2295" s="1003"/>
      <c r="E2295" s="1003"/>
      <c r="F2295" s="1003"/>
      <c r="G2295" s="1003"/>
      <c r="H2295" s="1003"/>
      <c r="I2295" s="1003"/>
      <c r="J2295" s="1003"/>
      <c r="K2295" s="1003"/>
      <c r="L2295" s="1004"/>
    </row>
    <row r="2296" spans="2:12">
      <c r="B2296" s="651"/>
      <c r="L2296" s="652"/>
    </row>
    <row r="2297" spans="2:12" ht="15.75">
      <c r="B2297" s="638" t="s">
        <v>398</v>
      </c>
      <c r="C2297" s="8">
        <v>11</v>
      </c>
      <c r="D2297" s="9" t="s">
        <v>1034</v>
      </c>
      <c r="E2297" s="9"/>
      <c r="F2297" s="9"/>
      <c r="G2297" s="9"/>
      <c r="H2297" s="9"/>
      <c r="I2297" s="9"/>
      <c r="J2297" s="9"/>
      <c r="K2297" s="10"/>
      <c r="L2297" s="639"/>
    </row>
    <row r="2298" spans="2:12" ht="15">
      <c r="B2298" s="1005"/>
      <c r="C2298" s="1006"/>
      <c r="D2298" s="1006"/>
      <c r="E2298" s="1006"/>
      <c r="F2298" s="1006"/>
      <c r="G2298" s="1006"/>
      <c r="H2298" s="1006"/>
      <c r="I2298" s="1006"/>
      <c r="J2298" s="1006"/>
      <c r="K2298" s="1006"/>
      <c r="L2298" s="1007"/>
    </row>
    <row r="2299" spans="2:12" ht="15.75">
      <c r="B2299" s="653" t="s">
        <v>399</v>
      </c>
      <c r="C2299" s="25">
        <f>+'PROPUESTA ECONOMICA(Proponente)'!C200</f>
        <v>11.7</v>
      </c>
      <c r="D2299" s="12" t="str">
        <f>+VLOOKUP('MEMORIAS DE CANTIDADES'!C2299,'PROPUESTA ECONOMICA(Proponente)'!$C$21:$H$310,5,FALSE)</f>
        <v>Porta papel en acero inoxidable</v>
      </c>
      <c r="E2299" s="13"/>
      <c r="F2299" s="12"/>
      <c r="G2299" s="12"/>
      <c r="H2299" s="12"/>
      <c r="I2299" s="11" t="s">
        <v>400</v>
      </c>
      <c r="J2299" s="12" t="str">
        <f>+VLOOKUP('MEMORIAS DE CANTIDADES'!C2299,'PROPUESTA ECONOMICA(Proponente)'!$C$21:$H$310,6,FALSE)</f>
        <v>Und</v>
      </c>
      <c r="K2299" s="11" t="s">
        <v>401</v>
      </c>
      <c r="L2299" s="643">
        <f>SUM(L2300:L2308)</f>
        <v>57</v>
      </c>
    </row>
    <row r="2300" spans="2:12" ht="15">
      <c r="B2300" s="644"/>
      <c r="C2300" s="16"/>
      <c r="D2300" s="15"/>
      <c r="E2300" s="15"/>
      <c r="F2300" s="15"/>
      <c r="G2300" s="15"/>
      <c r="H2300" s="15"/>
      <c r="I2300" s="15"/>
      <c r="J2300" s="15"/>
      <c r="K2300" s="17"/>
      <c r="L2300" s="645"/>
    </row>
    <row r="2301" spans="2:12" ht="47.25">
      <c r="B2301" s="642" t="s">
        <v>402</v>
      </c>
      <c r="C2301" s="18" t="s">
        <v>403</v>
      </c>
      <c r="D2301" s="18" t="s">
        <v>404</v>
      </c>
      <c r="E2301" s="18" t="s">
        <v>405</v>
      </c>
      <c r="F2301" s="18" t="s">
        <v>406</v>
      </c>
      <c r="G2301" s="18" t="s">
        <v>407</v>
      </c>
      <c r="H2301" s="5" t="s">
        <v>408</v>
      </c>
      <c r="I2301" s="18" t="s">
        <v>409</v>
      </c>
      <c r="J2301" s="5" t="s">
        <v>410</v>
      </c>
      <c r="K2301" s="5" t="s">
        <v>411</v>
      </c>
      <c r="L2301" s="647" t="s">
        <v>412</v>
      </c>
    </row>
    <row r="2302" spans="2:12" ht="15.75">
      <c r="B2302" s="759" t="s">
        <v>734</v>
      </c>
      <c r="C2302" s="19"/>
      <c r="D2302" s="19"/>
      <c r="E2302" s="19"/>
      <c r="F2302" s="19"/>
      <c r="G2302" s="20"/>
      <c r="H2302" s="68"/>
      <c r="I2302" s="17"/>
      <c r="J2302" s="28">
        <v>21</v>
      </c>
      <c r="K2302" s="17"/>
      <c r="L2302" s="649">
        <f>PRODUCT(C2302:K2302)</f>
        <v>21</v>
      </c>
    </row>
    <row r="2303" spans="2:12" ht="15.75">
      <c r="B2303" s="759" t="s">
        <v>835</v>
      </c>
      <c r="C2303" s="20"/>
      <c r="D2303" s="19"/>
      <c r="E2303" s="19"/>
      <c r="F2303" s="19"/>
      <c r="G2303" s="20"/>
      <c r="H2303" s="68"/>
      <c r="I2303" s="17"/>
      <c r="J2303" s="19">
        <v>28</v>
      </c>
      <c r="K2303" s="17"/>
      <c r="L2303" s="649">
        <f t="shared" ref="L2303" si="177">PRODUCT(C2303:K2303)</f>
        <v>28</v>
      </c>
    </row>
    <row r="2304" spans="2:12" ht="15.75">
      <c r="B2304" s="760" t="s">
        <v>555</v>
      </c>
      <c r="C2304" s="20"/>
      <c r="D2304" s="20"/>
      <c r="E2304" s="20"/>
      <c r="F2304" s="20"/>
      <c r="G2304" s="20"/>
      <c r="H2304" s="19"/>
      <c r="I2304" s="20"/>
      <c r="J2304" s="19">
        <v>1</v>
      </c>
      <c r="K2304" s="17">
        <v>2</v>
      </c>
      <c r="L2304" s="649">
        <f t="shared" ref="L2304:L2305" si="178">PRODUCT(C2304:K2304)</f>
        <v>2</v>
      </c>
    </row>
    <row r="2305" spans="2:12" ht="15.75">
      <c r="B2305" s="760" t="s">
        <v>836</v>
      </c>
      <c r="C2305" s="20"/>
      <c r="D2305" s="20"/>
      <c r="E2305" s="20"/>
      <c r="F2305" s="20"/>
      <c r="G2305" s="20"/>
      <c r="H2305" s="19"/>
      <c r="I2305" s="20"/>
      <c r="J2305" s="19">
        <v>6</v>
      </c>
      <c r="K2305" s="17"/>
      <c r="L2305" s="649">
        <f t="shared" si="178"/>
        <v>6</v>
      </c>
    </row>
    <row r="2306" spans="2:12" ht="15.75">
      <c r="B2306" s="760"/>
      <c r="C2306" s="20"/>
      <c r="D2306" s="20"/>
      <c r="E2306" s="20"/>
      <c r="F2306" s="20"/>
      <c r="G2306" s="20"/>
      <c r="H2306" s="19"/>
      <c r="I2306" s="20"/>
      <c r="J2306" s="19"/>
      <c r="K2306" s="17"/>
      <c r="L2306" s="649"/>
    </row>
    <row r="2307" spans="2:12" ht="15.75">
      <c r="B2307" s="760"/>
      <c r="C2307" s="20"/>
      <c r="D2307" s="20"/>
      <c r="E2307" s="20"/>
      <c r="F2307" s="20"/>
      <c r="G2307" s="20"/>
      <c r="H2307" s="19"/>
      <c r="I2307" s="20"/>
      <c r="J2307" s="19"/>
      <c r="K2307" s="17"/>
      <c r="L2307" s="649"/>
    </row>
    <row r="2308" spans="2:12" ht="15.75">
      <c r="B2308" s="1002" t="s">
        <v>414</v>
      </c>
      <c r="C2308" s="1003"/>
      <c r="D2308" s="1003"/>
      <c r="E2308" s="1003"/>
      <c r="F2308" s="1003"/>
      <c r="G2308" s="1003"/>
      <c r="H2308" s="1003"/>
      <c r="I2308" s="1003"/>
      <c r="J2308" s="1003"/>
      <c r="K2308" s="1003"/>
      <c r="L2308" s="1004"/>
    </row>
    <row r="2309" spans="2:12">
      <c r="B2309" s="651"/>
      <c r="L2309" s="652"/>
    </row>
    <row r="2310" spans="2:12" ht="15.75">
      <c r="B2310" s="638" t="s">
        <v>398</v>
      </c>
      <c r="C2310" s="8">
        <v>11</v>
      </c>
      <c r="D2310" s="9" t="s">
        <v>1034</v>
      </c>
      <c r="E2310" s="9"/>
      <c r="F2310" s="9"/>
      <c r="G2310" s="9"/>
      <c r="H2310" s="9"/>
      <c r="I2310" s="9"/>
      <c r="J2310" s="9"/>
      <c r="K2310" s="10"/>
      <c r="L2310" s="639"/>
    </row>
    <row r="2311" spans="2:12" ht="15">
      <c r="B2311" s="1005"/>
      <c r="C2311" s="1006"/>
      <c r="D2311" s="1006"/>
      <c r="E2311" s="1006"/>
      <c r="F2311" s="1006"/>
      <c r="G2311" s="1006"/>
      <c r="H2311" s="1006"/>
      <c r="I2311" s="1006"/>
      <c r="J2311" s="1006"/>
      <c r="K2311" s="1006"/>
      <c r="L2311" s="1007"/>
    </row>
    <row r="2312" spans="2:12" ht="31.5">
      <c r="B2312" s="642" t="s">
        <v>399</v>
      </c>
      <c r="C2312" s="25">
        <f>+'PROPUESTA ECONOMICA(Proponente)'!C201</f>
        <v>11.8</v>
      </c>
      <c r="D2312" s="12" t="str">
        <f>+VLOOKUP('MEMORIAS DE CANTIDADES'!C2312,'PROPUESTA ECONOMICA(Proponente)'!$C$21:$H$310,5,FALSE)</f>
        <v>Juego de ducha cerámico nacional blanco tipo corona o similar</v>
      </c>
      <c r="E2312" s="13"/>
      <c r="F2312" s="12"/>
      <c r="G2312" s="12"/>
      <c r="H2312" s="12"/>
      <c r="I2312" s="11" t="s">
        <v>400</v>
      </c>
      <c r="J2312" s="12" t="str">
        <f>+VLOOKUP('MEMORIAS DE CANTIDADES'!C2312,'PROPUESTA ECONOMICA(Proponente)'!$C$21:$H$310,6,FALSE)</f>
        <v>Und</v>
      </c>
      <c r="K2312" s="11" t="s">
        <v>401</v>
      </c>
      <c r="L2312" s="643">
        <f>SUM(L2313:L2321)</f>
        <v>24</v>
      </c>
    </row>
    <row r="2313" spans="2:12" ht="15">
      <c r="B2313" s="644"/>
      <c r="C2313" s="16"/>
      <c r="D2313" s="15"/>
      <c r="E2313" s="15"/>
      <c r="F2313" s="15"/>
      <c r="G2313" s="15"/>
      <c r="H2313" s="15"/>
      <c r="I2313" s="15"/>
      <c r="J2313" s="15"/>
      <c r="K2313" s="17"/>
      <c r="L2313" s="645"/>
    </row>
    <row r="2314" spans="2:12" ht="47.25">
      <c r="B2314" s="646" t="s">
        <v>402</v>
      </c>
      <c r="C2314" s="18" t="s">
        <v>403</v>
      </c>
      <c r="D2314" s="18" t="s">
        <v>404</v>
      </c>
      <c r="E2314" s="18" t="s">
        <v>405</v>
      </c>
      <c r="F2314" s="18" t="s">
        <v>406</v>
      </c>
      <c r="G2314" s="18" t="s">
        <v>407</v>
      </c>
      <c r="H2314" s="5" t="s">
        <v>408</v>
      </c>
      <c r="I2314" s="18" t="s">
        <v>409</v>
      </c>
      <c r="J2314" s="5" t="s">
        <v>410</v>
      </c>
      <c r="K2314" s="5" t="s">
        <v>411</v>
      </c>
      <c r="L2314" s="647" t="s">
        <v>412</v>
      </c>
    </row>
    <row r="2315" spans="2:12" ht="15.75">
      <c r="B2315" s="759" t="s">
        <v>734</v>
      </c>
      <c r="C2315" s="19"/>
      <c r="D2315" s="19"/>
      <c r="E2315" s="19"/>
      <c r="F2315" s="19"/>
      <c r="G2315" s="20"/>
      <c r="H2315" s="68"/>
      <c r="I2315" s="17"/>
      <c r="J2315" s="28">
        <v>14</v>
      </c>
      <c r="K2315" s="17"/>
      <c r="L2315" s="649">
        <f>PRODUCT(C2315:K2315)</f>
        <v>14</v>
      </c>
    </row>
    <row r="2316" spans="2:12" ht="15.75">
      <c r="B2316" s="759" t="s">
        <v>835</v>
      </c>
      <c r="C2316" s="20"/>
      <c r="D2316" s="19"/>
      <c r="E2316" s="19"/>
      <c r="F2316" s="19"/>
      <c r="G2316" s="20"/>
      <c r="H2316" s="68"/>
      <c r="I2316" s="17"/>
      <c r="J2316" s="19">
        <v>10</v>
      </c>
      <c r="K2316" s="17"/>
      <c r="L2316" s="649">
        <f t="shared" ref="L2316" si="179">PRODUCT(C2316:K2316)</f>
        <v>10</v>
      </c>
    </row>
    <row r="2317" spans="2:12" ht="15.75">
      <c r="B2317" s="759"/>
      <c r="C2317" s="20"/>
      <c r="D2317" s="19"/>
      <c r="E2317" s="19"/>
      <c r="F2317" s="19"/>
      <c r="G2317" s="20"/>
      <c r="H2317" s="68"/>
      <c r="I2317" s="17"/>
      <c r="J2317" s="19"/>
      <c r="K2317" s="17"/>
      <c r="L2317" s="649"/>
    </row>
    <row r="2318" spans="2:12" ht="15.75">
      <c r="B2318" s="760"/>
      <c r="C2318" s="20"/>
      <c r="D2318" s="19"/>
      <c r="E2318" s="19"/>
      <c r="F2318" s="19"/>
      <c r="G2318" s="20"/>
      <c r="H2318" s="68"/>
      <c r="I2318" s="17"/>
      <c r="J2318" s="19"/>
      <c r="K2318" s="17"/>
      <c r="L2318" s="649"/>
    </row>
    <row r="2319" spans="2:12" ht="15">
      <c r="B2319" s="650"/>
      <c r="C2319" s="20"/>
      <c r="D2319" s="20"/>
      <c r="E2319" s="20"/>
      <c r="F2319" s="20"/>
      <c r="G2319" s="20"/>
      <c r="H2319" s="19"/>
      <c r="I2319" s="20"/>
      <c r="J2319" s="19"/>
      <c r="K2319" s="17"/>
      <c r="L2319" s="649"/>
    </row>
    <row r="2320" spans="2:12" ht="15">
      <c r="B2320" s="650"/>
      <c r="C2320" s="20"/>
      <c r="D2320" s="20"/>
      <c r="E2320" s="20"/>
      <c r="F2320" s="20"/>
      <c r="G2320" s="20"/>
      <c r="H2320" s="19"/>
      <c r="I2320" s="20"/>
      <c r="J2320" s="19"/>
      <c r="K2320" s="17"/>
      <c r="L2320" s="649"/>
    </row>
    <row r="2321" spans="2:12" ht="15.75">
      <c r="B2321" s="1002" t="s">
        <v>414</v>
      </c>
      <c r="C2321" s="1003"/>
      <c r="D2321" s="1003"/>
      <c r="E2321" s="1003"/>
      <c r="F2321" s="1003"/>
      <c r="G2321" s="1003"/>
      <c r="H2321" s="1003"/>
      <c r="I2321" s="1003"/>
      <c r="J2321" s="1003"/>
      <c r="K2321" s="1003"/>
      <c r="L2321" s="1004"/>
    </row>
    <row r="2322" spans="2:12">
      <c r="B2322" s="651"/>
      <c r="L2322" s="652"/>
    </row>
    <row r="2323" spans="2:12" ht="15.75">
      <c r="B2323" s="638" t="s">
        <v>398</v>
      </c>
      <c r="C2323" s="8">
        <v>11</v>
      </c>
      <c r="D2323" s="9" t="s">
        <v>1034</v>
      </c>
      <c r="E2323" s="9"/>
      <c r="F2323" s="9"/>
      <c r="G2323" s="9"/>
      <c r="H2323" s="9"/>
      <c r="I2323" s="9"/>
      <c r="J2323" s="9"/>
      <c r="K2323" s="10"/>
      <c r="L2323" s="639"/>
    </row>
    <row r="2324" spans="2:12" ht="15">
      <c r="B2324" s="1005"/>
      <c r="C2324" s="1006"/>
      <c r="D2324" s="1006"/>
      <c r="E2324" s="1006"/>
      <c r="F2324" s="1006"/>
      <c r="G2324" s="1006"/>
      <c r="H2324" s="1006"/>
      <c r="I2324" s="1006"/>
      <c r="J2324" s="1006"/>
      <c r="K2324" s="1006"/>
      <c r="L2324" s="1007"/>
    </row>
    <row r="2325" spans="2:12" ht="15.75">
      <c r="B2325" s="642" t="s">
        <v>399</v>
      </c>
      <c r="C2325" s="25">
        <f>+'PROPUESTA ECONOMICA(Proponente)'!C202</f>
        <v>11.9</v>
      </c>
      <c r="D2325" s="12" t="str">
        <f>+VLOOKUP('MEMORIAS DE CANTIDADES'!C2325,'PROPUESTA ECONOMICA(Proponente)'!$C$21:$H$310,5,FALSE)</f>
        <v xml:space="preserve">Kit de para ducha </v>
      </c>
      <c r="E2325" s="13"/>
      <c r="F2325" s="12"/>
      <c r="G2325" s="12"/>
      <c r="H2325" s="12"/>
      <c r="I2325" s="11" t="s">
        <v>400</v>
      </c>
      <c r="J2325" s="12" t="str">
        <f>+VLOOKUP('MEMORIAS DE CANTIDADES'!C2325,'PROPUESTA ECONOMICA(Proponente)'!$C$21:$H$310,6,FALSE)</f>
        <v>Und</v>
      </c>
      <c r="K2325" s="11" t="s">
        <v>401</v>
      </c>
      <c r="L2325" s="643">
        <f>SUM(L2326:L2333)</f>
        <v>24</v>
      </c>
    </row>
    <row r="2326" spans="2:12" ht="15">
      <c r="B2326" s="644"/>
      <c r="C2326" s="16"/>
      <c r="D2326" s="15"/>
      <c r="E2326" s="15"/>
      <c r="F2326" s="15"/>
      <c r="G2326" s="15"/>
      <c r="H2326" s="15"/>
      <c r="I2326" s="15"/>
      <c r="J2326" s="15"/>
      <c r="K2326" s="17"/>
      <c r="L2326" s="645"/>
    </row>
    <row r="2327" spans="2:12" ht="47.25">
      <c r="B2327" s="646" t="s">
        <v>402</v>
      </c>
      <c r="C2327" s="18" t="s">
        <v>403</v>
      </c>
      <c r="D2327" s="18" t="s">
        <v>404</v>
      </c>
      <c r="E2327" s="18" t="s">
        <v>405</v>
      </c>
      <c r="F2327" s="18" t="s">
        <v>406</v>
      </c>
      <c r="G2327" s="18" t="s">
        <v>407</v>
      </c>
      <c r="H2327" s="5" t="s">
        <v>408</v>
      </c>
      <c r="I2327" s="18" t="s">
        <v>409</v>
      </c>
      <c r="J2327" s="5" t="s">
        <v>410</v>
      </c>
      <c r="K2327" s="5" t="s">
        <v>411</v>
      </c>
      <c r="L2327" s="647" t="s">
        <v>412</v>
      </c>
    </row>
    <row r="2328" spans="2:12" ht="15.75">
      <c r="B2328" s="759" t="s">
        <v>734</v>
      </c>
      <c r="C2328" s="19"/>
      <c r="D2328" s="19"/>
      <c r="E2328" s="19"/>
      <c r="F2328" s="19"/>
      <c r="G2328" s="20"/>
      <c r="H2328" s="68"/>
      <c r="I2328" s="17"/>
      <c r="J2328" s="28">
        <v>14</v>
      </c>
      <c r="K2328" s="17"/>
      <c r="L2328" s="649">
        <f>PRODUCT(C2328:K2328)</f>
        <v>14</v>
      </c>
    </row>
    <row r="2329" spans="2:12" ht="15.75">
      <c r="B2329" s="759" t="s">
        <v>835</v>
      </c>
      <c r="C2329" s="20"/>
      <c r="D2329" s="19"/>
      <c r="E2329" s="19"/>
      <c r="F2329" s="19"/>
      <c r="G2329" s="20"/>
      <c r="H2329" s="68"/>
      <c r="I2329" s="17"/>
      <c r="J2329" s="19">
        <v>10</v>
      </c>
      <c r="K2329" s="17"/>
      <c r="L2329" s="649">
        <f t="shared" ref="L2329" si="180">PRODUCT(C2329:K2329)</f>
        <v>10</v>
      </c>
    </row>
    <row r="2330" spans="2:12" ht="15.75">
      <c r="B2330" s="759"/>
      <c r="C2330" s="20"/>
      <c r="D2330" s="19"/>
      <c r="E2330" s="19"/>
      <c r="F2330" s="19"/>
      <c r="G2330" s="20"/>
      <c r="H2330" s="68"/>
      <c r="I2330" s="17"/>
      <c r="J2330" s="19"/>
      <c r="K2330" s="17"/>
      <c r="L2330" s="649"/>
    </row>
    <row r="2331" spans="2:12" ht="15">
      <c r="B2331" s="650"/>
      <c r="C2331" s="20"/>
      <c r="D2331" s="20"/>
      <c r="E2331" s="20"/>
      <c r="F2331" s="20"/>
      <c r="G2331" s="20"/>
      <c r="H2331" s="19"/>
      <c r="I2331" s="20"/>
      <c r="J2331" s="19"/>
      <c r="K2331" s="17"/>
      <c r="L2331" s="649"/>
    </row>
    <row r="2332" spans="2:12" ht="15">
      <c r="B2332" s="650"/>
      <c r="C2332" s="20"/>
      <c r="D2332" s="20"/>
      <c r="E2332" s="20"/>
      <c r="F2332" s="20"/>
      <c r="G2332" s="20"/>
      <c r="H2332" s="19"/>
      <c r="I2332" s="20"/>
      <c r="J2332" s="19"/>
      <c r="K2332" s="17"/>
      <c r="L2332" s="649"/>
    </row>
    <row r="2333" spans="2:12" ht="15.75">
      <c r="B2333" s="1002"/>
      <c r="C2333" s="1003"/>
      <c r="D2333" s="1003"/>
      <c r="E2333" s="1003"/>
      <c r="F2333" s="1003"/>
      <c r="G2333" s="1003"/>
      <c r="H2333" s="1003"/>
      <c r="I2333" s="1003"/>
      <c r="J2333" s="1003"/>
      <c r="K2333" s="1003"/>
      <c r="L2333" s="1004"/>
    </row>
    <row r="2334" spans="2:12">
      <c r="B2334" s="651"/>
      <c r="L2334" s="652"/>
    </row>
    <row r="2335" spans="2:12" ht="15.75">
      <c r="B2335" s="638" t="s">
        <v>398</v>
      </c>
      <c r="C2335" s="8">
        <v>11</v>
      </c>
      <c r="D2335" s="9" t="s">
        <v>1034</v>
      </c>
      <c r="E2335" s="9"/>
      <c r="F2335" s="9"/>
      <c r="G2335" s="9"/>
      <c r="H2335" s="9"/>
      <c r="I2335" s="9"/>
      <c r="J2335" s="9"/>
      <c r="K2335" s="10"/>
      <c r="L2335" s="639"/>
    </row>
    <row r="2336" spans="2:12" ht="15">
      <c r="B2336" s="1005"/>
      <c r="C2336" s="1006"/>
      <c r="D2336" s="1006"/>
      <c r="E2336" s="1006"/>
      <c r="F2336" s="1006"/>
      <c r="G2336" s="1006"/>
      <c r="H2336" s="1006"/>
      <c r="I2336" s="1006"/>
      <c r="J2336" s="1006"/>
      <c r="K2336" s="1006"/>
      <c r="L2336" s="1007"/>
    </row>
    <row r="2337" spans="2:12" ht="47.25">
      <c r="B2337" s="653" t="s">
        <v>399</v>
      </c>
      <c r="C2337" s="8">
        <f>+'PROPUESTA ECONOMICA(Proponente)'!C203</f>
        <v>11.1</v>
      </c>
      <c r="D2337" s="12" t="str">
        <f>+VLOOKUP('MEMORIAS DE CANTIDADES'!C2337,'PROPUESTA ECONOMICA(Proponente)'!$C$21:$H$310,5,FALSE)</f>
        <v>Lavamanos de empotrar tipo san lorenzo de corona o similar, (incluye grifería, suministro e instalación).</v>
      </c>
      <c r="E2337" s="13"/>
      <c r="F2337" s="12"/>
      <c r="G2337" s="12"/>
      <c r="H2337" s="12"/>
      <c r="I2337" s="11" t="s">
        <v>400</v>
      </c>
      <c r="J2337" s="12" t="str">
        <f>+VLOOKUP('MEMORIAS DE CANTIDADES'!C2337,'PROPUESTA ECONOMICA(Proponente)'!$C$21:$H$310,6,FALSE)</f>
        <v>Und</v>
      </c>
      <c r="K2337" s="11" t="s">
        <v>401</v>
      </c>
      <c r="L2337" s="643">
        <f>SUM(L2338:L2344)</f>
        <v>51</v>
      </c>
    </row>
    <row r="2338" spans="2:12" ht="15">
      <c r="B2338" s="644"/>
      <c r="C2338" s="16"/>
      <c r="D2338" s="15"/>
      <c r="E2338" s="15"/>
      <c r="F2338" s="15"/>
      <c r="G2338" s="15"/>
      <c r="H2338" s="15"/>
      <c r="I2338" s="15"/>
      <c r="J2338" s="15"/>
      <c r="K2338" s="17"/>
      <c r="L2338" s="645"/>
    </row>
    <row r="2339" spans="2:12" ht="47.25">
      <c r="B2339" s="646" t="s">
        <v>402</v>
      </c>
      <c r="C2339" s="18" t="s">
        <v>403</v>
      </c>
      <c r="D2339" s="18" t="s">
        <v>404</v>
      </c>
      <c r="E2339" s="18" t="s">
        <v>405</v>
      </c>
      <c r="F2339" s="18" t="s">
        <v>406</v>
      </c>
      <c r="G2339" s="18" t="s">
        <v>407</v>
      </c>
      <c r="H2339" s="5" t="s">
        <v>408</v>
      </c>
      <c r="I2339" s="18" t="s">
        <v>409</v>
      </c>
      <c r="J2339" s="5" t="s">
        <v>410</v>
      </c>
      <c r="K2339" s="5" t="s">
        <v>411</v>
      </c>
      <c r="L2339" s="647" t="s">
        <v>412</v>
      </c>
    </row>
    <row r="2340" spans="2:12" ht="15.75">
      <c r="B2340" s="759" t="s">
        <v>734</v>
      </c>
      <c r="C2340" s="19"/>
      <c r="D2340" s="19"/>
      <c r="E2340" s="19"/>
      <c r="F2340" s="19"/>
      <c r="G2340" s="20"/>
      <c r="H2340" s="68"/>
      <c r="I2340" s="17"/>
      <c r="J2340" s="28">
        <v>21</v>
      </c>
      <c r="K2340" s="17"/>
      <c r="L2340" s="649">
        <f>PRODUCT(C2340:K2340)</f>
        <v>21</v>
      </c>
    </row>
    <row r="2341" spans="2:12" ht="15.75">
      <c r="B2341" s="759" t="s">
        <v>835</v>
      </c>
      <c r="C2341" s="20"/>
      <c r="D2341" s="19"/>
      <c r="E2341" s="19"/>
      <c r="F2341" s="19"/>
      <c r="G2341" s="20"/>
      <c r="H2341" s="68"/>
      <c r="I2341" s="17"/>
      <c r="J2341" s="20">
        <v>28</v>
      </c>
      <c r="K2341" s="17"/>
      <c r="L2341" s="649">
        <f t="shared" ref="L2341:L2342" si="181">PRODUCT(C2341:K2341)</f>
        <v>28</v>
      </c>
    </row>
    <row r="2342" spans="2:12" ht="15.75">
      <c r="B2342" s="760" t="s">
        <v>555</v>
      </c>
      <c r="C2342" s="20"/>
      <c r="D2342" s="20"/>
      <c r="E2342" s="20"/>
      <c r="F2342" s="20"/>
      <c r="G2342" s="20"/>
      <c r="H2342" s="19"/>
      <c r="I2342" s="20"/>
      <c r="J2342" s="20">
        <v>1</v>
      </c>
      <c r="K2342" s="17">
        <v>2</v>
      </c>
      <c r="L2342" s="649">
        <f t="shared" si="181"/>
        <v>2</v>
      </c>
    </row>
    <row r="2343" spans="2:12" ht="15.75">
      <c r="B2343" s="760" t="s">
        <v>836</v>
      </c>
      <c r="C2343" s="20"/>
      <c r="D2343" s="20"/>
      <c r="E2343" s="20"/>
      <c r="F2343" s="20"/>
      <c r="G2343" s="20"/>
      <c r="H2343" s="19"/>
      <c r="I2343" s="20"/>
      <c r="J2343" s="20">
        <v>6</v>
      </c>
      <c r="K2343" s="17"/>
      <c r="L2343" s="649"/>
    </row>
    <row r="2344" spans="2:12" ht="15.75">
      <c r="B2344" s="1002"/>
      <c r="C2344" s="1003"/>
      <c r="D2344" s="1003"/>
      <c r="E2344" s="1003"/>
      <c r="F2344" s="1003"/>
      <c r="G2344" s="1003"/>
      <c r="H2344" s="1003"/>
      <c r="I2344" s="1003"/>
      <c r="J2344" s="1003"/>
      <c r="K2344" s="1003"/>
      <c r="L2344" s="1004"/>
    </row>
    <row r="2345" spans="2:12">
      <c r="B2345" s="651"/>
      <c r="L2345" s="652"/>
    </row>
    <row r="2346" spans="2:12" ht="15.75">
      <c r="B2346" s="638" t="s">
        <v>398</v>
      </c>
      <c r="C2346" s="8">
        <v>11</v>
      </c>
      <c r="D2346" s="9" t="s">
        <v>1034</v>
      </c>
      <c r="E2346" s="9"/>
      <c r="F2346" s="9"/>
      <c r="G2346" s="9"/>
      <c r="H2346" s="9"/>
      <c r="I2346" s="9"/>
      <c r="J2346" s="9"/>
      <c r="K2346" s="10"/>
      <c r="L2346" s="639"/>
    </row>
    <row r="2347" spans="2:12" ht="15">
      <c r="B2347" s="1005"/>
      <c r="C2347" s="1006"/>
      <c r="D2347" s="1006"/>
      <c r="E2347" s="1006"/>
      <c r="F2347" s="1006"/>
      <c r="G2347" s="1006"/>
      <c r="H2347" s="1006"/>
      <c r="I2347" s="1006"/>
      <c r="J2347" s="1006"/>
      <c r="K2347" s="1006"/>
      <c r="L2347" s="1007"/>
    </row>
    <row r="2348" spans="2:12" ht="31.5">
      <c r="B2348" s="642" t="s">
        <v>399</v>
      </c>
      <c r="C2348" s="8">
        <f>+'PROPUESTA ECONOMICA(Proponente)'!C204</f>
        <v>11.11</v>
      </c>
      <c r="D2348" s="12" t="str">
        <f>+VLOOKUP('MEMORIAS DE CANTIDADES'!C2348,'PROPUESTA ECONOMICA(Proponente)'!$C$21:$H$310,5,FALSE)</f>
        <v>Suministro e instalación de Juego de barras de apoyo para personas con movilidad reducida</v>
      </c>
      <c r="E2348" s="13"/>
      <c r="F2348" s="12"/>
      <c r="G2348" s="12"/>
      <c r="H2348" s="12"/>
      <c r="I2348" s="11" t="s">
        <v>400</v>
      </c>
      <c r="J2348" s="12" t="str">
        <f>+VLOOKUP('MEMORIAS DE CANTIDADES'!C2348,'PROPUESTA ECONOMICA(Proponente)'!$C$21:$H$310,6,FALSE)</f>
        <v>Und</v>
      </c>
      <c r="K2348" s="11" t="s">
        <v>401</v>
      </c>
      <c r="L2348" s="643">
        <f>SUM(L2349:L2355)</f>
        <v>6</v>
      </c>
    </row>
    <row r="2349" spans="2:12" ht="15">
      <c r="B2349" s="644"/>
      <c r="C2349" s="16"/>
      <c r="D2349" s="15"/>
      <c r="E2349" s="15"/>
      <c r="F2349" s="15"/>
      <c r="G2349" s="15"/>
      <c r="H2349" s="15"/>
      <c r="I2349" s="15"/>
      <c r="J2349" s="15"/>
      <c r="K2349" s="17"/>
      <c r="L2349" s="645"/>
    </row>
    <row r="2350" spans="2:12" ht="47.25">
      <c r="B2350" s="646" t="s">
        <v>402</v>
      </c>
      <c r="C2350" s="18" t="s">
        <v>403</v>
      </c>
      <c r="D2350" s="18" t="s">
        <v>404</v>
      </c>
      <c r="E2350" s="18" t="s">
        <v>405</v>
      </c>
      <c r="F2350" s="18" t="s">
        <v>406</v>
      </c>
      <c r="G2350" s="18" t="s">
        <v>407</v>
      </c>
      <c r="H2350" s="5" t="s">
        <v>408</v>
      </c>
      <c r="I2350" s="18" t="s">
        <v>409</v>
      </c>
      <c r="J2350" s="5" t="s">
        <v>410</v>
      </c>
      <c r="K2350" s="5" t="s">
        <v>411</v>
      </c>
      <c r="L2350" s="647" t="s">
        <v>412</v>
      </c>
    </row>
    <row r="2351" spans="2:12" ht="15.75">
      <c r="B2351" s="759" t="s">
        <v>734</v>
      </c>
      <c r="C2351" s="19"/>
      <c r="D2351" s="19"/>
      <c r="E2351" s="19"/>
      <c r="F2351" s="19"/>
      <c r="G2351" s="20"/>
      <c r="H2351" s="68"/>
      <c r="I2351" s="17"/>
      <c r="J2351" s="28">
        <v>2</v>
      </c>
      <c r="K2351" s="17"/>
      <c r="L2351" s="649">
        <f>PRODUCT(C2351:K2351)</f>
        <v>2</v>
      </c>
    </row>
    <row r="2352" spans="2:12" ht="15.75">
      <c r="B2352" s="759" t="s">
        <v>835</v>
      </c>
      <c r="C2352" s="20"/>
      <c r="D2352" s="19"/>
      <c r="E2352" s="19"/>
      <c r="F2352" s="19"/>
      <c r="G2352" s="20"/>
      <c r="H2352" s="68"/>
      <c r="I2352" s="17"/>
      <c r="J2352" s="69">
        <v>4</v>
      </c>
      <c r="K2352" s="17"/>
      <c r="L2352" s="649">
        <f t="shared" ref="L2352" si="182">PRODUCT(C2352:K2352)</f>
        <v>4</v>
      </c>
    </row>
    <row r="2353" spans="2:12" ht="15.75">
      <c r="B2353" s="760"/>
      <c r="C2353" s="20"/>
      <c r="D2353" s="20"/>
      <c r="E2353" s="20"/>
      <c r="F2353" s="20"/>
      <c r="G2353" s="20"/>
      <c r="H2353" s="19"/>
      <c r="I2353" s="20"/>
      <c r="J2353" s="19"/>
      <c r="K2353" s="17"/>
      <c r="L2353" s="649"/>
    </row>
    <row r="2354" spans="2:12" ht="15.75">
      <c r="B2354" s="760"/>
      <c r="C2354" s="20"/>
      <c r="D2354" s="20"/>
      <c r="E2354" s="20"/>
      <c r="F2354" s="20"/>
      <c r="G2354" s="20"/>
      <c r="H2354" s="19"/>
      <c r="I2354" s="20"/>
      <c r="J2354" s="19"/>
      <c r="K2354" s="17"/>
      <c r="L2354" s="649"/>
    </row>
    <row r="2355" spans="2:12" ht="15.75">
      <c r="B2355" s="1002"/>
      <c r="C2355" s="1003"/>
      <c r="D2355" s="1003"/>
      <c r="E2355" s="1003"/>
      <c r="F2355" s="1003"/>
      <c r="G2355" s="1003"/>
      <c r="H2355" s="1003"/>
      <c r="I2355" s="1003"/>
      <c r="J2355" s="1003"/>
      <c r="K2355" s="1003"/>
      <c r="L2355" s="1004"/>
    </row>
    <row r="2356" spans="2:12">
      <c r="B2356" s="651"/>
      <c r="L2356" s="652"/>
    </row>
    <row r="2357" spans="2:12" ht="15.75">
      <c r="B2357" s="638" t="s">
        <v>398</v>
      </c>
      <c r="C2357" s="8">
        <v>11</v>
      </c>
      <c r="D2357" s="9" t="s">
        <v>1034</v>
      </c>
      <c r="E2357" s="9"/>
      <c r="F2357" s="9"/>
      <c r="G2357" s="9"/>
      <c r="H2357" s="9"/>
      <c r="I2357" s="9"/>
      <c r="J2357" s="9"/>
      <c r="K2357" s="10"/>
      <c r="L2357" s="639"/>
    </row>
    <row r="2358" spans="2:12" ht="15">
      <c r="B2358" s="1005"/>
      <c r="C2358" s="1006"/>
      <c r="D2358" s="1006"/>
      <c r="E2358" s="1006"/>
      <c r="F2358" s="1006"/>
      <c r="G2358" s="1006"/>
      <c r="H2358" s="1006"/>
      <c r="I2358" s="1006"/>
      <c r="J2358" s="1006"/>
      <c r="K2358" s="1006"/>
      <c r="L2358" s="1007"/>
    </row>
    <row r="2359" spans="2:12" ht="63">
      <c r="B2359" s="642" t="s">
        <v>399</v>
      </c>
      <c r="C2359" s="8">
        <f>+'PROPUESTA ECONOMICA(Proponente)'!C205</f>
        <v>11.12</v>
      </c>
      <c r="D2359" s="12" t="str">
        <f>+VLOOKUP('MEMORIAS DE CANTIDADES'!C2359,'PROPUESTA ECONOMICA(Proponente)'!$C$21:$H$310,5,FALSE)</f>
        <v>Suministro e instalación de lavaplatos doble poceta en acero inoxidable de 120x50 cm,  incluye sifón mas canastilla y grifería con acople 1/2"</v>
      </c>
      <c r="E2359" s="13"/>
      <c r="F2359" s="12"/>
      <c r="G2359" s="12"/>
      <c r="H2359" s="12"/>
      <c r="I2359" s="11" t="s">
        <v>400</v>
      </c>
      <c r="J2359" s="12" t="str">
        <f>+VLOOKUP('MEMORIAS DE CANTIDADES'!C2359,'PROPUESTA ECONOMICA(Proponente)'!$C$21:$H$310,6,FALSE)</f>
        <v>Und</v>
      </c>
      <c r="K2359" s="11" t="s">
        <v>401</v>
      </c>
      <c r="L2359" s="643">
        <f>SUM(L2360:L2367)</f>
        <v>0</v>
      </c>
    </row>
    <row r="2360" spans="2:12" ht="15">
      <c r="B2360" s="644"/>
      <c r="C2360" s="16"/>
      <c r="D2360" s="15"/>
      <c r="E2360" s="15"/>
      <c r="F2360" s="15"/>
      <c r="G2360" s="15"/>
      <c r="H2360" s="15"/>
      <c r="I2360" s="15"/>
      <c r="J2360" s="15"/>
      <c r="K2360" s="17"/>
      <c r="L2360" s="645"/>
    </row>
    <row r="2361" spans="2:12" ht="47.25">
      <c r="B2361" s="646" t="s">
        <v>402</v>
      </c>
      <c r="C2361" s="18" t="s">
        <v>403</v>
      </c>
      <c r="D2361" s="18" t="s">
        <v>404</v>
      </c>
      <c r="E2361" s="18" t="s">
        <v>405</v>
      </c>
      <c r="F2361" s="18" t="s">
        <v>406</v>
      </c>
      <c r="G2361" s="18" t="s">
        <v>407</v>
      </c>
      <c r="H2361" s="5" t="s">
        <v>408</v>
      </c>
      <c r="I2361" s="18" t="s">
        <v>409</v>
      </c>
      <c r="J2361" s="5" t="s">
        <v>410</v>
      </c>
      <c r="K2361" s="5" t="s">
        <v>411</v>
      </c>
      <c r="L2361" s="647" t="s">
        <v>412</v>
      </c>
    </row>
    <row r="2362" spans="2:12" ht="15.75">
      <c r="B2362" s="759" t="s">
        <v>734</v>
      </c>
      <c r="C2362" s="19"/>
      <c r="D2362" s="19"/>
      <c r="E2362" s="19"/>
      <c r="F2362" s="19"/>
      <c r="G2362" s="20"/>
      <c r="H2362" s="68"/>
      <c r="I2362" s="17"/>
      <c r="J2362" s="28"/>
      <c r="K2362" s="17"/>
      <c r="L2362" s="649"/>
    </row>
    <row r="2363" spans="2:12" ht="15.75">
      <c r="B2363" s="759" t="s">
        <v>835</v>
      </c>
      <c r="C2363" s="20"/>
      <c r="D2363" s="19"/>
      <c r="E2363" s="19"/>
      <c r="F2363" s="19"/>
      <c r="G2363" s="20"/>
      <c r="H2363" s="68"/>
      <c r="I2363" s="17"/>
      <c r="J2363" s="69"/>
      <c r="K2363" s="17"/>
      <c r="L2363" s="649"/>
    </row>
    <row r="2364" spans="2:12" ht="15.75">
      <c r="B2364" s="759"/>
      <c r="C2364" s="20"/>
      <c r="D2364" s="20"/>
      <c r="E2364" s="20"/>
      <c r="F2364" s="20"/>
      <c r="G2364" s="20"/>
      <c r="H2364" s="20"/>
      <c r="I2364" s="20"/>
      <c r="J2364" s="69"/>
      <c r="K2364" s="17"/>
      <c r="L2364" s="649"/>
    </row>
    <row r="2365" spans="2:12" ht="15">
      <c r="B2365" s="650"/>
      <c r="C2365" s="20"/>
      <c r="D2365" s="20"/>
      <c r="E2365" s="20"/>
      <c r="F2365" s="20"/>
      <c r="G2365" s="20"/>
      <c r="H2365" s="19"/>
      <c r="I2365" s="20"/>
      <c r="J2365" s="19"/>
      <c r="K2365" s="17"/>
      <c r="L2365" s="649"/>
    </row>
    <row r="2366" spans="2:12" ht="15">
      <c r="B2366" s="650"/>
      <c r="C2366" s="20"/>
      <c r="D2366" s="20"/>
      <c r="E2366" s="20"/>
      <c r="F2366" s="20"/>
      <c r="G2366" s="20"/>
      <c r="H2366" s="19"/>
      <c r="I2366" s="20"/>
      <c r="J2366" s="19"/>
      <c r="K2366" s="17"/>
      <c r="L2366" s="649"/>
    </row>
    <row r="2367" spans="2:12" ht="15.75">
      <c r="B2367" s="1002"/>
      <c r="C2367" s="1003"/>
      <c r="D2367" s="1003"/>
      <c r="E2367" s="1003"/>
      <c r="F2367" s="1003"/>
      <c r="G2367" s="1003"/>
      <c r="H2367" s="1003"/>
      <c r="I2367" s="1003"/>
      <c r="J2367" s="1003"/>
      <c r="K2367" s="1003"/>
      <c r="L2367" s="1004"/>
    </row>
    <row r="2368" spans="2:12">
      <c r="B2368" s="651"/>
      <c r="L2368" s="652"/>
    </row>
    <row r="2369" spans="2:12">
      <c r="B2369" s="651"/>
      <c r="L2369" s="652"/>
    </row>
    <row r="2370" spans="2:12" ht="15.75">
      <c r="B2370" s="638" t="s">
        <v>398</v>
      </c>
      <c r="C2370" s="8">
        <v>14</v>
      </c>
      <c r="D2370" s="9" t="s">
        <v>1035</v>
      </c>
      <c r="E2370" s="9"/>
      <c r="F2370" s="9"/>
      <c r="G2370" s="9"/>
      <c r="H2370" s="9"/>
      <c r="I2370" s="9"/>
      <c r="J2370" s="9"/>
      <c r="K2370" s="10"/>
      <c r="L2370" s="639"/>
    </row>
    <row r="2371" spans="2:12" ht="15">
      <c r="B2371" s="1005"/>
      <c r="C2371" s="1006"/>
      <c r="D2371" s="1006"/>
      <c r="E2371" s="1006"/>
      <c r="F2371" s="1006"/>
      <c r="G2371" s="1006"/>
      <c r="H2371" s="1006"/>
      <c r="I2371" s="1006"/>
      <c r="J2371" s="1006"/>
      <c r="K2371" s="1006"/>
      <c r="L2371" s="1007"/>
    </row>
    <row r="2372" spans="2:12" ht="110.25">
      <c r="B2372" s="642" t="s">
        <v>399</v>
      </c>
      <c r="C2372" s="25">
        <f>+'PROPUESTA ECONOMICA(Proponente)'!C277</f>
        <v>14.1</v>
      </c>
      <c r="D2372" s="12" t="str">
        <f>+VLOOKUP('MEMORIAS DE CANTIDADES'!C2372,'PROPUESTA ECONOMICA(Proponente)'!$C$21:$H$310,5,FALSE)</f>
        <v>PORTERIA DE FUTBOL EN HIERRO NEGRO; Portería de futbol, elaborados en Tubería galvanizada, de diámetro Interior De 3 Pulgadas de 2.0 mm, El Resto De La Estructura De 2 1/2 Pulgadas de 2.5 mm espesor según los planos de diseño. (Incluye acabado en esmalte acrílico e instalación de rodachinas de 4" con frenos)</v>
      </c>
      <c r="E2372" s="13"/>
      <c r="F2372" s="12"/>
      <c r="G2372" s="12"/>
      <c r="H2372" s="12"/>
      <c r="I2372" s="11" t="s">
        <v>400</v>
      </c>
      <c r="J2372" s="12" t="str">
        <f>+VLOOKUP('MEMORIAS DE CANTIDADES'!C2372,'PROPUESTA ECONOMICA(Proponente)'!$C$21:$H$310,6,FALSE)</f>
        <v>un</v>
      </c>
      <c r="K2372" s="11" t="s">
        <v>401</v>
      </c>
      <c r="L2372" s="643">
        <f>SUM(L2373:L2380)</f>
        <v>2</v>
      </c>
    </row>
    <row r="2373" spans="2:12" ht="15">
      <c r="B2373" s="644"/>
      <c r="C2373" s="16"/>
      <c r="D2373" s="15"/>
      <c r="E2373" s="15"/>
      <c r="F2373" s="15"/>
      <c r="G2373" s="15"/>
      <c r="H2373" s="15"/>
      <c r="I2373" s="15"/>
      <c r="J2373" s="15"/>
      <c r="K2373" s="17"/>
      <c r="L2373" s="645"/>
    </row>
    <row r="2374" spans="2:12" ht="47.25">
      <c r="B2374" s="646" t="s">
        <v>402</v>
      </c>
      <c r="C2374" s="18" t="s">
        <v>403</v>
      </c>
      <c r="D2374" s="18" t="s">
        <v>404</v>
      </c>
      <c r="E2374" s="18" t="s">
        <v>405</v>
      </c>
      <c r="F2374" s="18" t="s">
        <v>406</v>
      </c>
      <c r="G2374" s="18" t="s">
        <v>407</v>
      </c>
      <c r="H2374" s="5" t="s">
        <v>408</v>
      </c>
      <c r="I2374" s="18" t="s">
        <v>409</v>
      </c>
      <c r="J2374" s="5" t="s">
        <v>410</v>
      </c>
      <c r="K2374" s="5" t="s">
        <v>411</v>
      </c>
      <c r="L2374" s="647" t="s">
        <v>412</v>
      </c>
    </row>
    <row r="2375" spans="2:12" ht="15.75">
      <c r="B2375" s="759" t="s">
        <v>734</v>
      </c>
      <c r="C2375" s="19"/>
      <c r="D2375" s="19"/>
      <c r="E2375" s="19"/>
      <c r="F2375" s="19"/>
      <c r="G2375" s="20"/>
      <c r="H2375" s="68"/>
      <c r="I2375" s="17"/>
      <c r="J2375" s="28">
        <v>2</v>
      </c>
      <c r="K2375" s="17"/>
      <c r="L2375" s="649">
        <f>PRODUCT(C2375:K2375)</f>
        <v>2</v>
      </c>
    </row>
    <row r="2376" spans="2:12" ht="15">
      <c r="B2376" s="648"/>
      <c r="C2376" s="20"/>
      <c r="D2376" s="19"/>
      <c r="E2376" s="19"/>
      <c r="F2376" s="19"/>
      <c r="G2376" s="20"/>
      <c r="H2376" s="68"/>
      <c r="I2376" s="17"/>
      <c r="J2376" s="69"/>
      <c r="K2376" s="17"/>
      <c r="L2376" s="649"/>
    </row>
    <row r="2377" spans="2:12" ht="15">
      <c r="B2377" s="650"/>
      <c r="C2377" s="20"/>
      <c r="D2377" s="20"/>
      <c r="E2377" s="20"/>
      <c r="F2377" s="20"/>
      <c r="G2377" s="20"/>
      <c r="H2377" s="20"/>
      <c r="I2377" s="20"/>
      <c r="J2377" s="69"/>
      <c r="K2377" s="17"/>
      <c r="L2377" s="649"/>
    </row>
    <row r="2378" spans="2:12" ht="15">
      <c r="B2378" s="650"/>
      <c r="C2378" s="20"/>
      <c r="D2378" s="20"/>
      <c r="E2378" s="20"/>
      <c r="F2378" s="20"/>
      <c r="G2378" s="20"/>
      <c r="H2378" s="19"/>
      <c r="I2378" s="20"/>
      <c r="J2378" s="19"/>
      <c r="K2378" s="17"/>
      <c r="L2378" s="649"/>
    </row>
    <row r="2379" spans="2:12" ht="15">
      <c r="B2379" s="650"/>
      <c r="C2379" s="20"/>
      <c r="D2379" s="20"/>
      <c r="E2379" s="20"/>
      <c r="F2379" s="20"/>
      <c r="G2379" s="20"/>
      <c r="H2379" s="19"/>
      <c r="I2379" s="20"/>
      <c r="J2379" s="19"/>
      <c r="K2379" s="17"/>
      <c r="L2379" s="649"/>
    </row>
    <row r="2380" spans="2:12">
      <c r="B2380" s="651"/>
      <c r="L2380" s="652"/>
    </row>
    <row r="2381" spans="2:12" ht="15.75">
      <c r="B2381" s="638" t="s">
        <v>398</v>
      </c>
      <c r="C2381" s="8">
        <v>14</v>
      </c>
      <c r="D2381" s="9" t="s">
        <v>1035</v>
      </c>
      <c r="E2381" s="9"/>
      <c r="F2381" s="9"/>
      <c r="G2381" s="9"/>
      <c r="H2381" s="9"/>
      <c r="I2381" s="9"/>
      <c r="J2381" s="9"/>
      <c r="K2381" s="10"/>
      <c r="L2381" s="639"/>
    </row>
    <row r="2382" spans="2:12" ht="15">
      <c r="B2382" s="1005"/>
      <c r="C2382" s="1006"/>
      <c r="D2382" s="1006"/>
      <c r="E2382" s="1006"/>
      <c r="F2382" s="1006"/>
      <c r="G2382" s="1006"/>
      <c r="H2382" s="1006"/>
      <c r="I2382" s="1006"/>
      <c r="J2382" s="1006"/>
      <c r="K2382" s="1006"/>
      <c r="L2382" s="1007"/>
    </row>
    <row r="2383" spans="2:12" ht="31.5">
      <c r="B2383" s="653" t="s">
        <v>399</v>
      </c>
      <c r="C2383" s="25">
        <f>+'PROPUESTA ECONOMICA(Proponente)'!C278</f>
        <v>14.2</v>
      </c>
      <c r="D2383" s="12" t="str">
        <f>+VLOOKUP('MEMORIAS DE CANTIDADES'!C2383,'PROPUESTA ECONOMICA(Proponente)'!$C$21:$H$310,5,FALSE)</f>
        <v>Suministro e Instalación de silletería para graderías.</v>
      </c>
      <c r="E2383" s="13"/>
      <c r="F2383" s="12"/>
      <c r="G2383" s="12"/>
      <c r="H2383" s="12"/>
      <c r="I2383" s="11" t="s">
        <v>400</v>
      </c>
      <c r="J2383" s="12" t="str">
        <f>+VLOOKUP('MEMORIAS DE CANTIDADES'!C2383,'PROPUESTA ECONOMICA(Proponente)'!$C$21:$H$310,6,FALSE)</f>
        <v>UN</v>
      </c>
      <c r="K2383" s="11" t="s">
        <v>401</v>
      </c>
      <c r="L2383" s="643">
        <f>SUM(L2384:L2393)</f>
        <v>1703</v>
      </c>
    </row>
    <row r="2384" spans="2:12" ht="15">
      <c r="B2384" s="644"/>
      <c r="C2384" s="16"/>
      <c r="D2384" s="15"/>
      <c r="E2384" s="15"/>
      <c r="F2384" s="15"/>
      <c r="G2384" s="15"/>
      <c r="H2384" s="15"/>
      <c r="I2384" s="15"/>
      <c r="J2384" s="15"/>
      <c r="K2384" s="17"/>
      <c r="L2384" s="645"/>
    </row>
    <row r="2385" spans="2:12" ht="47.25">
      <c r="B2385" s="646" t="s">
        <v>402</v>
      </c>
      <c r="C2385" s="18" t="s">
        <v>403</v>
      </c>
      <c r="D2385" s="18" t="s">
        <v>404</v>
      </c>
      <c r="E2385" s="18" t="s">
        <v>405</v>
      </c>
      <c r="F2385" s="18" t="s">
        <v>406</v>
      </c>
      <c r="G2385" s="18" t="s">
        <v>407</v>
      </c>
      <c r="H2385" s="5" t="s">
        <v>408</v>
      </c>
      <c r="I2385" s="18" t="s">
        <v>409</v>
      </c>
      <c r="J2385" s="5" t="s">
        <v>410</v>
      </c>
      <c r="K2385" s="5" t="s">
        <v>411</v>
      </c>
      <c r="L2385" s="647" t="s">
        <v>412</v>
      </c>
    </row>
    <row r="2386" spans="2:12" ht="15.75">
      <c r="B2386" s="759" t="s">
        <v>734</v>
      </c>
      <c r="C2386" s="19"/>
      <c r="D2386" s="19">
        <v>7</v>
      </c>
      <c r="E2386" s="39"/>
      <c r="F2386" s="20">
        <v>16</v>
      </c>
      <c r="G2386" s="20"/>
      <c r="H2386" s="68"/>
      <c r="I2386" s="28">
        <v>3</v>
      </c>
      <c r="J2386" s="28"/>
      <c r="K2386" s="17">
        <v>2</v>
      </c>
      <c r="L2386" s="649">
        <f>PRODUCT(C2386:K2386)</f>
        <v>672</v>
      </c>
    </row>
    <row r="2387" spans="2:12" ht="15.75">
      <c r="B2387" s="759"/>
      <c r="C2387" s="19"/>
      <c r="D2387" s="19">
        <v>7</v>
      </c>
      <c r="E2387" s="39"/>
      <c r="F2387" s="20">
        <v>27</v>
      </c>
      <c r="G2387" s="20"/>
      <c r="H2387" s="68"/>
      <c r="I2387" s="28">
        <v>2</v>
      </c>
      <c r="J2387" s="28"/>
      <c r="K2387" s="17"/>
      <c r="L2387" s="649">
        <f t="shared" ref="L2387:L2391" si="183">PRODUCT(C2387:K2387)</f>
        <v>378</v>
      </c>
    </row>
    <row r="2388" spans="2:12" ht="15.75">
      <c r="B2388" s="759" t="s">
        <v>807</v>
      </c>
      <c r="C2388" s="20"/>
      <c r="D2388" s="19">
        <v>7</v>
      </c>
      <c r="E2388" s="39"/>
      <c r="F2388" s="20">
        <v>16</v>
      </c>
      <c r="G2388" s="20"/>
      <c r="H2388" s="68"/>
      <c r="I2388" s="28">
        <v>2</v>
      </c>
      <c r="J2388" s="69"/>
      <c r="K2388" s="17">
        <v>2</v>
      </c>
      <c r="L2388" s="649">
        <f t="shared" si="183"/>
        <v>448</v>
      </c>
    </row>
    <row r="2389" spans="2:12" ht="15.75">
      <c r="B2389" s="759"/>
      <c r="C2389" s="20"/>
      <c r="D2389" s="19"/>
      <c r="E2389" s="39"/>
      <c r="F2389" s="19"/>
      <c r="G2389" s="20"/>
      <c r="H2389" s="68"/>
      <c r="I2389" s="28">
        <f>21*3+72+10</f>
        <v>145</v>
      </c>
      <c r="J2389" s="69"/>
      <c r="K2389" s="17"/>
      <c r="L2389" s="649">
        <f t="shared" si="183"/>
        <v>145</v>
      </c>
    </row>
    <row r="2390" spans="2:12" ht="15.75">
      <c r="B2390" s="759" t="s">
        <v>825</v>
      </c>
      <c r="C2390" s="20"/>
      <c r="D2390" s="20"/>
      <c r="E2390" s="20"/>
      <c r="F2390" s="20"/>
      <c r="G2390" s="20"/>
      <c r="H2390" s="20"/>
      <c r="I2390" s="20">
        <f>24+18+18</f>
        <v>60</v>
      </c>
      <c r="J2390" s="69"/>
      <c r="K2390" s="17"/>
      <c r="L2390" s="649">
        <f t="shared" si="183"/>
        <v>60</v>
      </c>
    </row>
    <row r="2391" spans="2:12" ht="15.75">
      <c r="B2391" s="759" t="s">
        <v>526</v>
      </c>
      <c r="C2391" s="20"/>
      <c r="D2391" s="20">
        <v>-1</v>
      </c>
      <c r="E2391" s="20">
        <v>0</v>
      </c>
      <c r="F2391" s="20"/>
      <c r="G2391" s="20"/>
      <c r="H2391" s="19"/>
      <c r="I2391" s="20">
        <f>16+14+14</f>
        <v>44</v>
      </c>
      <c r="J2391" s="19"/>
      <c r="K2391" s="17"/>
      <c r="L2391" s="649">
        <f t="shared" si="183"/>
        <v>0</v>
      </c>
    </row>
    <row r="2392" spans="2:12" ht="15">
      <c r="B2392" s="650"/>
      <c r="C2392" s="20"/>
      <c r="D2392" s="20"/>
      <c r="E2392" s="20"/>
      <c r="F2392" s="20"/>
      <c r="G2392" s="20"/>
      <c r="H2392" s="19"/>
      <c r="I2392" s="20"/>
      <c r="J2392" s="19"/>
      <c r="K2392" s="17"/>
      <c r="L2392" s="649"/>
    </row>
    <row r="2393" spans="2:12">
      <c r="B2393" s="651"/>
      <c r="L2393" s="652"/>
    </row>
    <row r="2394" spans="2:12" ht="15.75">
      <c r="B2394" s="638" t="s">
        <v>398</v>
      </c>
      <c r="C2394" s="8">
        <v>14</v>
      </c>
      <c r="D2394" s="9" t="s">
        <v>1035</v>
      </c>
      <c r="E2394" s="9"/>
      <c r="F2394" s="9"/>
      <c r="G2394" s="9"/>
      <c r="H2394" s="9"/>
      <c r="I2394" s="9"/>
      <c r="J2394" s="9"/>
      <c r="K2394" s="10"/>
      <c r="L2394" s="639"/>
    </row>
    <row r="2395" spans="2:12" ht="15">
      <c r="B2395" s="1005"/>
      <c r="C2395" s="1006"/>
      <c r="D2395" s="1006"/>
      <c r="E2395" s="1006"/>
      <c r="F2395" s="1006"/>
      <c r="G2395" s="1006"/>
      <c r="H2395" s="1006"/>
      <c r="I2395" s="1006"/>
      <c r="J2395" s="1006"/>
      <c r="K2395" s="1006"/>
      <c r="L2395" s="1007"/>
    </row>
    <row r="2396" spans="2:12" ht="94.5">
      <c r="B2396" s="642" t="s">
        <v>399</v>
      </c>
      <c r="C2396" s="25">
        <f>+'PROPUESTA ECONOMICA(Proponente)'!C279</f>
        <v>14.3</v>
      </c>
      <c r="D2396" s="12" t="str">
        <f>+VLOOKUP('MEMORIAS DE CANTIDADES'!C2396,'PROPUESTA ECONOMICA(Proponente)'!$C$21:$H$310,5,FALSE)</f>
        <v>PINTURA DE PLACA; Pintura acrílica para placa deportiva. Incluye: sello de juntas en poliuretano, preparación de superficie, pintura epóxica base solvente y pintura para canchas deportivas dos manos. (Incluye suministro e instalación).</v>
      </c>
      <c r="E2396" s="13"/>
      <c r="F2396" s="12"/>
      <c r="G2396" s="12"/>
      <c r="H2396" s="12"/>
      <c r="I2396" s="11" t="s">
        <v>400</v>
      </c>
      <c r="J2396" s="12" t="str">
        <f>+VLOOKUP('MEMORIAS DE CANTIDADES'!C2396,'PROPUESTA ECONOMICA(Proponente)'!$C$21:$H$310,6,FALSE)</f>
        <v>m2</v>
      </c>
      <c r="K2396" s="11" t="s">
        <v>401</v>
      </c>
      <c r="L2396" s="643">
        <f>SUM(L2397:L2403)</f>
        <v>2204.6</v>
      </c>
    </row>
    <row r="2397" spans="2:12" ht="15">
      <c r="B2397" s="644"/>
      <c r="C2397" s="16"/>
      <c r="D2397" s="15"/>
      <c r="E2397" s="15"/>
      <c r="F2397" s="15"/>
      <c r="G2397" s="15"/>
      <c r="H2397" s="15"/>
      <c r="I2397" s="15"/>
      <c r="J2397" s="15"/>
      <c r="K2397" s="17"/>
      <c r="L2397" s="645"/>
    </row>
    <row r="2398" spans="2:12" ht="47.25">
      <c r="B2398" s="646" t="s">
        <v>402</v>
      </c>
      <c r="C2398" s="18" t="s">
        <v>403</v>
      </c>
      <c r="D2398" s="18" t="s">
        <v>404</v>
      </c>
      <c r="E2398" s="18" t="s">
        <v>405</v>
      </c>
      <c r="F2398" s="18" t="s">
        <v>406</v>
      </c>
      <c r="G2398" s="18" t="s">
        <v>407</v>
      </c>
      <c r="H2398" s="5" t="s">
        <v>408</v>
      </c>
      <c r="I2398" s="18" t="s">
        <v>409</v>
      </c>
      <c r="J2398" s="5" t="s">
        <v>410</v>
      </c>
      <c r="K2398" s="5" t="s">
        <v>411</v>
      </c>
      <c r="L2398" s="647" t="s">
        <v>412</v>
      </c>
    </row>
    <row r="2399" spans="2:12" ht="15.75">
      <c r="B2399" s="759"/>
      <c r="C2399" s="19"/>
      <c r="D2399" s="19"/>
      <c r="E2399" s="19"/>
      <c r="F2399" s="19"/>
      <c r="G2399" s="20"/>
      <c r="H2399" s="68"/>
      <c r="I2399" s="17"/>
      <c r="J2399" s="28"/>
      <c r="K2399" s="17"/>
      <c r="L2399" s="649"/>
    </row>
    <row r="2400" spans="2:12" ht="15.75">
      <c r="B2400" s="759" t="s">
        <v>782</v>
      </c>
      <c r="C2400" s="20"/>
      <c r="D2400" s="19">
        <v>20.5</v>
      </c>
      <c r="E2400" s="19"/>
      <c r="F2400" s="19">
        <v>33.200000000000003</v>
      </c>
      <c r="G2400" s="20"/>
      <c r="H2400" s="68"/>
      <c r="I2400" s="17"/>
      <c r="J2400" s="69"/>
      <c r="K2400" s="17"/>
      <c r="L2400" s="649">
        <f>PRODUCT(C2400:K2400)</f>
        <v>680.6</v>
      </c>
    </row>
    <row r="2401" spans="2:12" ht="15.75">
      <c r="B2401" s="759" t="s">
        <v>1041</v>
      </c>
      <c r="C2401" s="20">
        <v>1271</v>
      </c>
      <c r="D2401" s="20"/>
      <c r="E2401" s="20"/>
      <c r="F2401" s="20"/>
      <c r="G2401" s="20"/>
      <c r="H2401" s="20"/>
      <c r="I2401" s="20"/>
      <c r="J2401" s="69"/>
      <c r="K2401" s="17"/>
      <c r="L2401" s="649">
        <f>PRODUCT(C2401:K2401)</f>
        <v>1271</v>
      </c>
    </row>
    <row r="2402" spans="2:12" ht="15.75">
      <c r="B2402" s="759" t="s">
        <v>956</v>
      </c>
      <c r="C2402" s="20">
        <f>139+20+32+20+21*2</f>
        <v>253</v>
      </c>
      <c r="D2402" s="20"/>
      <c r="E2402" s="20"/>
      <c r="F2402" s="20"/>
      <c r="G2402" s="20"/>
      <c r="H2402" s="19"/>
      <c r="I2402" s="20"/>
      <c r="J2402" s="19"/>
      <c r="K2402" s="17"/>
      <c r="L2402" s="649">
        <f>PRODUCT(C2402:K2402)</f>
        <v>253</v>
      </c>
    </row>
    <row r="2403" spans="2:12" ht="15">
      <c r="B2403" s="650"/>
      <c r="C2403" s="20"/>
      <c r="D2403" s="20"/>
      <c r="E2403" s="20"/>
      <c r="F2403" s="20"/>
      <c r="G2403" s="20"/>
      <c r="H2403" s="19"/>
      <c r="I2403" s="20"/>
      <c r="J2403" s="19"/>
      <c r="K2403" s="17"/>
      <c r="L2403" s="649"/>
    </row>
    <row r="2404" spans="2:12">
      <c r="B2404" s="651"/>
      <c r="L2404" s="652"/>
    </row>
    <row r="2405" spans="2:12" ht="15.75">
      <c r="B2405" s="638" t="s">
        <v>398</v>
      </c>
      <c r="C2405" s="8">
        <v>14</v>
      </c>
      <c r="D2405" s="9" t="s">
        <v>1035</v>
      </c>
      <c r="E2405" s="9"/>
      <c r="F2405" s="9"/>
      <c r="G2405" s="9"/>
      <c r="H2405" s="9"/>
      <c r="I2405" s="9"/>
      <c r="J2405" s="9"/>
      <c r="K2405" s="10"/>
      <c r="L2405" s="639"/>
    </row>
    <row r="2406" spans="2:12" ht="15">
      <c r="B2406" s="1005"/>
      <c r="C2406" s="1006"/>
      <c r="D2406" s="1006"/>
      <c r="E2406" s="1006"/>
      <c r="F2406" s="1006"/>
      <c r="G2406" s="1006"/>
      <c r="H2406" s="1006"/>
      <c r="I2406" s="1006"/>
      <c r="J2406" s="1006"/>
      <c r="K2406" s="1006"/>
      <c r="L2406" s="1007"/>
    </row>
    <row r="2407" spans="2:12" ht="220.5">
      <c r="B2407" s="642" t="s">
        <v>399</v>
      </c>
      <c r="C2407" s="25">
        <f>+'PROPUESTA ECONOMICA(Proponente)'!C280</f>
        <v>14.4</v>
      </c>
      <c r="D2407" s="12" t="str">
        <f>+VLOOKUP('MEMORIAS DE CANTIDADES'!C2407,'PROPUESTA ECONOMICA(Proponente)'!$C$21:$H$310,5,FALSE)</f>
        <v>Juego de estructuras deportivas múltiples. (Micro - Baloncesto) Fija y juego de postes para voleibol fijos, elaborados en Tubería galvanizada, de diámetro Interior De 3 Pulgadas de 2.0 mm, El Resto De La Estructura De 2 Pulgadas del mismo espesor según los planos de diseño, Tableros para baloncesto en acrílico De 10 mm, color Cristal de medidas 1.20 X 1.80 m, debidamente demarcados con Aros Y Malla De Baloncesto. (mallas de 100% Nylon de porterías, malla de voleibol y canasta de baloncesto incluidas). (Incluye pintura tres manos con epoxi poliamida de primera calidad) ,(Incluye suministro e instalación).</v>
      </c>
      <c r="E2407" s="13"/>
      <c r="F2407" s="12"/>
      <c r="G2407" s="12"/>
      <c r="H2407" s="12"/>
      <c r="I2407" s="11" t="s">
        <v>400</v>
      </c>
      <c r="J2407" s="12" t="str">
        <f>+VLOOKUP('MEMORIAS DE CANTIDADES'!C2407,'PROPUESTA ECONOMICA(Proponente)'!$C$21:$H$310,6,FALSE)</f>
        <v>un</v>
      </c>
      <c r="K2407" s="11" t="s">
        <v>401</v>
      </c>
      <c r="L2407" s="643">
        <f>SUM(L2408:L2414)</f>
        <v>2</v>
      </c>
    </row>
    <row r="2408" spans="2:12" ht="15">
      <c r="B2408" s="644"/>
      <c r="C2408" s="16"/>
      <c r="D2408" s="15"/>
      <c r="E2408" s="15"/>
      <c r="F2408" s="15"/>
      <c r="G2408" s="15"/>
      <c r="H2408" s="15"/>
      <c r="I2408" s="15"/>
      <c r="J2408" s="15"/>
      <c r="K2408" s="17"/>
      <c r="L2408" s="645"/>
    </row>
    <row r="2409" spans="2:12" ht="47.25">
      <c r="B2409" s="646" t="s">
        <v>402</v>
      </c>
      <c r="C2409" s="18" t="s">
        <v>403</v>
      </c>
      <c r="D2409" s="18" t="s">
        <v>404</v>
      </c>
      <c r="E2409" s="18" t="s">
        <v>405</v>
      </c>
      <c r="F2409" s="18" t="s">
        <v>406</v>
      </c>
      <c r="G2409" s="18" t="s">
        <v>407</v>
      </c>
      <c r="H2409" s="5" t="s">
        <v>408</v>
      </c>
      <c r="I2409" s="18" t="s">
        <v>409</v>
      </c>
      <c r="J2409" s="5" t="s">
        <v>410</v>
      </c>
      <c r="K2409" s="5" t="s">
        <v>411</v>
      </c>
      <c r="L2409" s="647" t="s">
        <v>412</v>
      </c>
    </row>
    <row r="2410" spans="2:12" ht="15.75">
      <c r="B2410" s="759"/>
      <c r="C2410" s="19"/>
      <c r="D2410" s="19"/>
      <c r="E2410" s="19"/>
      <c r="F2410" s="19"/>
      <c r="G2410" s="20"/>
      <c r="H2410" s="68"/>
      <c r="I2410" s="17"/>
      <c r="J2410" s="28"/>
      <c r="K2410" s="17"/>
      <c r="L2410" s="649"/>
    </row>
    <row r="2411" spans="2:12" ht="15.75">
      <c r="B2411" s="759" t="s">
        <v>782</v>
      </c>
      <c r="C2411" s="20"/>
      <c r="D2411" s="19"/>
      <c r="E2411" s="19"/>
      <c r="F2411" s="19"/>
      <c r="G2411" s="20"/>
      <c r="H2411" s="68"/>
      <c r="I2411" s="17">
        <v>2</v>
      </c>
      <c r="J2411" s="69"/>
      <c r="K2411" s="17"/>
      <c r="L2411" s="649">
        <f>PRODUCT(C2411:K2411)</f>
        <v>2</v>
      </c>
    </row>
    <row r="2412" spans="2:12" ht="15">
      <c r="B2412" s="650"/>
      <c r="C2412" s="20"/>
      <c r="D2412" s="20"/>
      <c r="E2412" s="20"/>
      <c r="F2412" s="20"/>
      <c r="G2412" s="20"/>
      <c r="H2412" s="20"/>
      <c r="I2412" s="20"/>
      <c r="J2412" s="69"/>
      <c r="K2412" s="17"/>
      <c r="L2412" s="649"/>
    </row>
    <row r="2413" spans="2:12" ht="15">
      <c r="B2413" s="650"/>
      <c r="C2413" s="20"/>
      <c r="D2413" s="20"/>
      <c r="E2413" s="20"/>
      <c r="F2413" s="20"/>
      <c r="G2413" s="20"/>
      <c r="H2413" s="19"/>
      <c r="I2413" s="20"/>
      <c r="J2413" s="19"/>
      <c r="K2413" s="17"/>
      <c r="L2413" s="649"/>
    </row>
    <row r="2414" spans="2:12" ht="15">
      <c r="B2414" s="650"/>
      <c r="C2414" s="20"/>
      <c r="D2414" s="20"/>
      <c r="E2414" s="20"/>
      <c r="F2414" s="20"/>
      <c r="G2414" s="20"/>
      <c r="H2414" s="19"/>
      <c r="I2414" s="20"/>
      <c r="J2414" s="19"/>
      <c r="K2414" s="17"/>
      <c r="L2414" s="649"/>
    </row>
    <row r="2415" spans="2:12">
      <c r="B2415" s="651"/>
      <c r="L2415" s="652"/>
    </row>
    <row r="2416" spans="2:12" ht="15.75">
      <c r="B2416" s="638" t="s">
        <v>398</v>
      </c>
      <c r="C2416" s="8">
        <v>14</v>
      </c>
      <c r="D2416" s="9" t="s">
        <v>1035</v>
      </c>
      <c r="E2416" s="9"/>
      <c r="F2416" s="9"/>
      <c r="G2416" s="9"/>
      <c r="H2416" s="9"/>
      <c r="I2416" s="9"/>
      <c r="J2416" s="9"/>
      <c r="K2416" s="10"/>
      <c r="L2416" s="639"/>
    </row>
    <row r="2417" spans="2:12" ht="15">
      <c r="B2417" s="1005"/>
      <c r="C2417" s="1006"/>
      <c r="D2417" s="1006"/>
      <c r="E2417" s="1006"/>
      <c r="F2417" s="1006"/>
      <c r="G2417" s="1006"/>
      <c r="H2417" s="1006"/>
      <c r="I2417" s="1006"/>
      <c r="J2417" s="1006"/>
      <c r="K2417" s="1006"/>
      <c r="L2417" s="1007"/>
    </row>
    <row r="2418" spans="2:12" ht="94.5">
      <c r="B2418" s="646" t="s">
        <v>399</v>
      </c>
      <c r="C2418" s="25">
        <f>+'PROPUESTA ECONOMICA(Proponente)'!C281</f>
        <v>14.5</v>
      </c>
      <c r="D2418" s="12" t="str">
        <f>+VLOOKUP('MEMORIAS DE CANTIDADES'!C2418,'PROPUESTA ECONOMICA(Proponente)'!$C$21:$H$310,5,FALSE)</f>
        <v>DEMARCACIÓN FRANJAS: Demarcación Franjas de líneas de Juego de Micro Futbol, Basckett, Voleibol, con un espesor de e= 0,08 mts a 0,1 mts, con dos manos, con pintura de placa dos manos, (Incluye suministro e instalación).</v>
      </c>
      <c r="E2418" s="13"/>
      <c r="F2418" s="12"/>
      <c r="G2418" s="12"/>
      <c r="H2418" s="12"/>
      <c r="I2418" s="11" t="s">
        <v>400</v>
      </c>
      <c r="J2418" s="12" t="str">
        <f>+VLOOKUP('MEMORIAS DE CANTIDADES'!C2418,'PROPUESTA ECONOMICA(Proponente)'!$C$21:$H$310,6,FALSE)</f>
        <v>m</v>
      </c>
      <c r="K2418" s="11" t="s">
        <v>401</v>
      </c>
      <c r="L2418" s="643">
        <f>SUM(L2419:L2425)</f>
        <v>421</v>
      </c>
    </row>
    <row r="2419" spans="2:12" ht="15">
      <c r="B2419" s="644"/>
      <c r="C2419" s="16"/>
      <c r="D2419" s="15"/>
      <c r="E2419" s="15"/>
      <c r="F2419" s="15"/>
      <c r="G2419" s="15"/>
      <c r="H2419" s="15"/>
      <c r="I2419" s="15"/>
      <c r="J2419" s="15"/>
      <c r="K2419" s="17"/>
      <c r="L2419" s="645"/>
    </row>
    <row r="2420" spans="2:12" ht="47.25">
      <c r="B2420" s="646" t="s">
        <v>402</v>
      </c>
      <c r="C2420" s="18" t="s">
        <v>403</v>
      </c>
      <c r="D2420" s="18" t="s">
        <v>404</v>
      </c>
      <c r="E2420" s="18" t="s">
        <v>405</v>
      </c>
      <c r="F2420" s="18" t="s">
        <v>406</v>
      </c>
      <c r="G2420" s="18" t="s">
        <v>407</v>
      </c>
      <c r="H2420" s="5" t="s">
        <v>408</v>
      </c>
      <c r="I2420" s="18" t="s">
        <v>409</v>
      </c>
      <c r="J2420" s="5" t="s">
        <v>410</v>
      </c>
      <c r="K2420" s="5" t="s">
        <v>411</v>
      </c>
      <c r="L2420" s="647" t="s">
        <v>412</v>
      </c>
    </row>
    <row r="2421" spans="2:12" ht="15.75">
      <c r="B2421" s="759"/>
      <c r="C2421" s="19"/>
      <c r="D2421" s="19"/>
      <c r="E2421" s="19"/>
      <c r="F2421" s="19"/>
      <c r="G2421" s="20"/>
      <c r="H2421" s="68"/>
      <c r="I2421" s="17"/>
      <c r="J2421" s="28"/>
      <c r="K2421" s="17"/>
      <c r="L2421" s="649"/>
    </row>
    <row r="2422" spans="2:12" ht="15.75">
      <c r="B2422" s="759" t="s">
        <v>782</v>
      </c>
      <c r="C2422" s="20"/>
      <c r="D2422" s="19"/>
      <c r="E2422" s="19"/>
      <c r="F2422" s="19">
        <v>421</v>
      </c>
      <c r="G2422" s="20"/>
      <c r="H2422" s="68"/>
      <c r="I2422" s="17">
        <v>1</v>
      </c>
      <c r="J2422" s="69"/>
      <c r="K2422" s="17"/>
      <c r="L2422" s="649">
        <f>PRODUCT(C2422:K2422)</f>
        <v>421</v>
      </c>
    </row>
    <row r="2423" spans="2:12" ht="15">
      <c r="B2423" s="650"/>
      <c r="C2423" s="20"/>
      <c r="D2423" s="20"/>
      <c r="E2423" s="20"/>
      <c r="F2423" s="20"/>
      <c r="G2423" s="20"/>
      <c r="H2423" s="20"/>
      <c r="I2423" s="20"/>
      <c r="J2423" s="69"/>
      <c r="K2423" s="17"/>
      <c r="L2423" s="649"/>
    </row>
    <row r="2424" spans="2:12" ht="15">
      <c r="B2424" s="650"/>
      <c r="C2424" s="20"/>
      <c r="D2424" s="20"/>
      <c r="E2424" s="20"/>
      <c r="F2424" s="20"/>
      <c r="G2424" s="20"/>
      <c r="H2424" s="19"/>
      <c r="I2424" s="20"/>
      <c r="J2424" s="19"/>
      <c r="K2424" s="17"/>
      <c r="L2424" s="649"/>
    </row>
    <row r="2425" spans="2:12" ht="15">
      <c r="B2425" s="650"/>
      <c r="C2425" s="20"/>
      <c r="D2425" s="20"/>
      <c r="E2425" s="20"/>
      <c r="F2425" s="20"/>
      <c r="G2425" s="20"/>
      <c r="H2425" s="19"/>
      <c r="I2425" s="20"/>
      <c r="J2425" s="19"/>
      <c r="K2425" s="17"/>
      <c r="L2425" s="649"/>
    </row>
    <row r="2426" spans="2:12">
      <c r="B2426" s="651"/>
      <c r="L2426" s="652"/>
    </row>
    <row r="2427" spans="2:12" ht="31.5">
      <c r="B2427" s="653" t="s">
        <v>399</v>
      </c>
      <c r="C2427" s="25">
        <f>+'PROPUESTA ECONOMICA(Proponente)'!C282</f>
        <v>14.6</v>
      </c>
      <c r="D2427" s="12" t="str">
        <f>+VLOOKUP('MEMORIAS DE CANTIDADES'!C2427,'PROPUESTA ECONOMICA(Proponente)'!$C$21:$H$310,5,FALSE)</f>
        <v xml:space="preserve">Suministro de Instalación de bases de Softbol de 18"x2.5" </v>
      </c>
      <c r="E2427" s="13"/>
      <c r="F2427" s="12"/>
      <c r="G2427" s="12"/>
      <c r="H2427" s="12"/>
      <c r="I2427" s="11" t="s">
        <v>400</v>
      </c>
      <c r="J2427" s="12" t="str">
        <f>+VLOOKUP('MEMORIAS DE CANTIDADES'!C2427,'PROPUESTA ECONOMICA(Proponente)'!$C$21:$H$310,6,FALSE)</f>
        <v>glb</v>
      </c>
      <c r="K2427" s="11" t="s">
        <v>401</v>
      </c>
      <c r="L2427" s="643">
        <f>SUM(L2428:L2434)</f>
        <v>1</v>
      </c>
    </row>
    <row r="2428" spans="2:12" ht="15">
      <c r="B2428" s="644"/>
      <c r="C2428" s="16"/>
      <c r="D2428" s="15"/>
      <c r="E2428" s="15"/>
      <c r="F2428" s="15"/>
      <c r="G2428" s="15"/>
      <c r="H2428" s="15"/>
      <c r="I2428" s="15"/>
      <c r="J2428" s="15"/>
      <c r="K2428" s="17"/>
      <c r="L2428" s="645"/>
    </row>
    <row r="2429" spans="2:12" ht="47.25">
      <c r="B2429" s="646" t="s">
        <v>402</v>
      </c>
      <c r="C2429" s="18" t="s">
        <v>403</v>
      </c>
      <c r="D2429" s="18" t="s">
        <v>404</v>
      </c>
      <c r="E2429" s="18" t="s">
        <v>405</v>
      </c>
      <c r="F2429" s="18" t="s">
        <v>406</v>
      </c>
      <c r="G2429" s="18" t="s">
        <v>407</v>
      </c>
      <c r="H2429" s="5" t="s">
        <v>408</v>
      </c>
      <c r="I2429" s="18" t="s">
        <v>409</v>
      </c>
      <c r="J2429" s="5" t="s">
        <v>410</v>
      </c>
      <c r="K2429" s="5" t="s">
        <v>411</v>
      </c>
      <c r="L2429" s="647" t="s">
        <v>412</v>
      </c>
    </row>
    <row r="2430" spans="2:12" ht="15.75">
      <c r="B2430" s="759"/>
      <c r="C2430" s="19"/>
      <c r="D2430" s="19"/>
      <c r="E2430" s="19"/>
      <c r="F2430" s="19"/>
      <c r="G2430" s="20"/>
      <c r="H2430" s="68"/>
      <c r="I2430" s="17"/>
      <c r="J2430" s="28"/>
      <c r="K2430" s="17"/>
      <c r="L2430" s="649"/>
    </row>
    <row r="2431" spans="2:12" ht="15.75">
      <c r="B2431" s="759" t="s">
        <v>807</v>
      </c>
      <c r="C2431" s="20"/>
      <c r="D2431" s="19"/>
      <c r="E2431" s="19"/>
      <c r="F2431" s="19"/>
      <c r="G2431" s="20"/>
      <c r="H2431" s="68"/>
      <c r="I2431" s="17">
        <v>1</v>
      </c>
      <c r="J2431" s="69"/>
      <c r="K2431" s="17"/>
      <c r="L2431" s="762">
        <f>PRODUCT(C2431:K2431)</f>
        <v>1</v>
      </c>
    </row>
    <row r="2432" spans="2:12" ht="15">
      <c r="B2432" s="650"/>
      <c r="C2432" s="20"/>
      <c r="D2432" s="20"/>
      <c r="E2432" s="20"/>
      <c r="F2432" s="20"/>
      <c r="G2432" s="20"/>
      <c r="H2432" s="20"/>
      <c r="I2432" s="20"/>
      <c r="J2432" s="69"/>
      <c r="K2432" s="17"/>
      <c r="L2432" s="649"/>
    </row>
    <row r="2433" spans="2:12" ht="15">
      <c r="B2433" s="650"/>
      <c r="C2433" s="20"/>
      <c r="D2433" s="20"/>
      <c r="E2433" s="20"/>
      <c r="F2433" s="20"/>
      <c r="G2433" s="20"/>
      <c r="H2433" s="19"/>
      <c r="I2433" s="20"/>
      <c r="J2433" s="19"/>
      <c r="K2433" s="17"/>
      <c r="L2433" s="649"/>
    </row>
    <row r="2434" spans="2:12" ht="15">
      <c r="B2434" s="650"/>
      <c r="C2434" s="20"/>
      <c r="D2434" s="20"/>
      <c r="E2434" s="20"/>
      <c r="F2434" s="20"/>
      <c r="G2434" s="20"/>
      <c r="H2434" s="19"/>
      <c r="I2434" s="20"/>
      <c r="J2434" s="19"/>
      <c r="K2434" s="17"/>
      <c r="L2434" s="649"/>
    </row>
    <row r="2435" spans="2:12">
      <c r="B2435" s="651"/>
      <c r="L2435" s="652"/>
    </row>
    <row r="2436" spans="2:12">
      <c r="B2436" s="651"/>
      <c r="L2436" s="652"/>
    </row>
    <row r="2437" spans="2:12" ht="15.75">
      <c r="B2437" s="638" t="s">
        <v>398</v>
      </c>
      <c r="C2437" s="8">
        <v>15</v>
      </c>
      <c r="D2437" s="9" t="s">
        <v>1036</v>
      </c>
      <c r="E2437" s="9"/>
      <c r="F2437" s="9"/>
      <c r="G2437" s="9"/>
      <c r="H2437" s="9"/>
      <c r="I2437" s="9"/>
      <c r="J2437" s="9"/>
      <c r="K2437" s="10"/>
      <c r="L2437" s="639"/>
    </row>
    <row r="2438" spans="2:12" ht="15">
      <c r="B2438" s="1005"/>
      <c r="C2438" s="1006"/>
      <c r="D2438" s="1006"/>
      <c r="E2438" s="1006"/>
      <c r="F2438" s="1006"/>
      <c r="G2438" s="1006"/>
      <c r="H2438" s="1006"/>
      <c r="I2438" s="1006"/>
      <c r="J2438" s="1006"/>
      <c r="K2438" s="1006"/>
      <c r="L2438" s="1007"/>
    </row>
    <row r="2439" spans="2:12" ht="31.5">
      <c r="B2439" s="653" t="s">
        <v>399</v>
      </c>
      <c r="C2439" s="25">
        <f>+'PROPUESTA ECONOMICA(Proponente)'!C285</f>
        <v>15.1</v>
      </c>
      <c r="D2439" s="12" t="str">
        <f>+VLOOKUP('MEMORIAS DE CANTIDADES'!C2439,'PROPUESTA ECONOMICA(Proponente)'!$C$21:$H$310,5,FALSE)</f>
        <v>EXCAVACIONES :Excavación manual, (Incluye cargue, transporte y disposición final).</v>
      </c>
      <c r="E2439" s="13"/>
      <c r="F2439" s="12"/>
      <c r="G2439" s="12"/>
      <c r="H2439" s="12"/>
      <c r="I2439" s="11" t="s">
        <v>400</v>
      </c>
      <c r="J2439" s="12" t="str">
        <f>+VLOOKUP('MEMORIAS DE CANTIDADES'!C2439,'PROPUESTA ECONOMICA(Proponente)'!$C$21:$H$310,6,FALSE)</f>
        <v>m3</v>
      </c>
      <c r="K2439" s="11" t="s">
        <v>401</v>
      </c>
      <c r="L2439" s="643">
        <f>SUM(L2440:L2449)</f>
        <v>43.035000000000004</v>
      </c>
    </row>
    <row r="2440" spans="2:12" ht="15">
      <c r="B2440" s="644"/>
      <c r="C2440" s="16"/>
      <c r="D2440" s="15"/>
      <c r="E2440" s="15"/>
      <c r="F2440" s="15"/>
      <c r="G2440" s="15"/>
      <c r="H2440" s="15"/>
      <c r="I2440" s="15"/>
      <c r="J2440" s="15"/>
      <c r="K2440" s="17"/>
      <c r="L2440" s="645"/>
    </row>
    <row r="2441" spans="2:12" ht="47.25">
      <c r="B2441" s="646" t="s">
        <v>402</v>
      </c>
      <c r="C2441" s="18" t="s">
        <v>403</v>
      </c>
      <c r="D2441" s="18" t="s">
        <v>404</v>
      </c>
      <c r="E2441" s="18" t="s">
        <v>405</v>
      </c>
      <c r="F2441" s="18" t="s">
        <v>406</v>
      </c>
      <c r="G2441" s="18" t="s">
        <v>407</v>
      </c>
      <c r="H2441" s="5" t="s">
        <v>408</v>
      </c>
      <c r="I2441" s="18" t="s">
        <v>409</v>
      </c>
      <c r="J2441" s="5" t="s">
        <v>410</v>
      </c>
      <c r="K2441" s="5" t="s">
        <v>411</v>
      </c>
      <c r="L2441" s="647" t="s">
        <v>412</v>
      </c>
    </row>
    <row r="2442" spans="2:12" ht="15.75">
      <c r="B2442" s="759"/>
      <c r="C2442" s="20"/>
      <c r="D2442" s="19"/>
      <c r="E2442" s="19"/>
      <c r="F2442" s="19"/>
      <c r="G2442" s="20"/>
      <c r="H2442" s="68"/>
      <c r="I2442" s="17"/>
      <c r="J2442" s="69"/>
      <c r="K2442" s="17"/>
      <c r="L2442" s="649"/>
    </row>
    <row r="2443" spans="2:12" ht="15">
      <c r="B2443" s="648" t="s">
        <v>567</v>
      </c>
      <c r="C2443" s="19"/>
      <c r="D2443" s="20">
        <v>0.3</v>
      </c>
      <c r="F2443" s="19">
        <v>10</v>
      </c>
      <c r="G2443" s="20"/>
      <c r="H2443" s="68"/>
      <c r="I2443" s="17"/>
      <c r="J2443" s="69"/>
      <c r="K2443" s="17"/>
      <c r="L2443" s="649">
        <f>PRODUCT(C2443:K2443)</f>
        <v>3</v>
      </c>
    </row>
    <row r="2444" spans="2:12" ht="15">
      <c r="B2444" s="648"/>
      <c r="C2444" s="19"/>
      <c r="D2444" s="20">
        <v>0.3</v>
      </c>
      <c r="F2444" s="19">
        <v>6</v>
      </c>
      <c r="G2444" s="20"/>
      <c r="H2444" s="68"/>
      <c r="I2444" s="17"/>
      <c r="J2444" s="69"/>
      <c r="K2444" s="17"/>
      <c r="L2444" s="649">
        <f>PRODUCT(C2444:K2444)</f>
        <v>1.7999999999999998</v>
      </c>
    </row>
    <row r="2445" spans="2:12" ht="15.75">
      <c r="B2445" s="646"/>
      <c r="C2445" s="18"/>
      <c r="D2445" s="20">
        <v>0.3</v>
      </c>
      <c r="F2445" s="19">
        <v>16</v>
      </c>
      <c r="G2445" s="18"/>
      <c r="H2445" s="5"/>
      <c r="I2445" s="18"/>
      <c r="J2445" s="5"/>
      <c r="K2445" s="5"/>
      <c r="L2445" s="649">
        <f>PRODUCT(C2445:K2445)</f>
        <v>4.8</v>
      </c>
    </row>
    <row r="2446" spans="2:12" ht="15.75">
      <c r="B2446" s="646" t="s">
        <v>837</v>
      </c>
      <c r="C2446" s="48"/>
      <c r="D2446" s="218">
        <v>0.15</v>
      </c>
      <c r="E2446" s="48">
        <v>0.3</v>
      </c>
      <c r="F2446" s="48">
        <v>743</v>
      </c>
      <c r="G2446" s="48"/>
      <c r="H2446" s="5"/>
      <c r="I2446" s="18"/>
      <c r="J2446" s="5"/>
      <c r="K2446" s="5"/>
      <c r="L2446" s="649">
        <f>PRODUCT(C2446:K2446)</f>
        <v>33.435000000000002</v>
      </c>
    </row>
    <row r="2447" spans="2:12" ht="15.75">
      <c r="B2447" s="646"/>
      <c r="C2447" s="48"/>
      <c r="D2447" s="48"/>
      <c r="E2447" s="48"/>
      <c r="F2447" s="48"/>
      <c r="G2447" s="48"/>
      <c r="H2447" s="5"/>
      <c r="I2447" s="18"/>
      <c r="J2447" s="5"/>
      <c r="K2447" s="5"/>
      <c r="L2447" s="647"/>
    </row>
    <row r="2448" spans="2:12" ht="15.75">
      <c r="B2448" s="646"/>
      <c r="C2448" s="18"/>
      <c r="D2448" s="18"/>
      <c r="E2448" s="18"/>
      <c r="F2448" s="18"/>
      <c r="G2448" s="18"/>
      <c r="H2448" s="5"/>
      <c r="I2448" s="18"/>
      <c r="J2448" s="5"/>
      <c r="K2448" s="5"/>
      <c r="L2448" s="647"/>
    </row>
    <row r="2449" spans="2:12" ht="15.75">
      <c r="B2449" s="1002"/>
      <c r="C2449" s="1003"/>
      <c r="D2449" s="1003"/>
      <c r="E2449" s="1003"/>
      <c r="F2449" s="1003"/>
      <c r="G2449" s="1003"/>
      <c r="H2449" s="1003"/>
      <c r="I2449" s="1003"/>
      <c r="J2449" s="1003"/>
      <c r="K2449" s="1003"/>
      <c r="L2449" s="1004"/>
    </row>
    <row r="2450" spans="2:12">
      <c r="B2450" s="651"/>
      <c r="L2450" s="652"/>
    </row>
    <row r="2451" spans="2:12" ht="15.75">
      <c r="B2451" s="638" t="s">
        <v>398</v>
      </c>
      <c r="C2451" s="8">
        <v>15</v>
      </c>
      <c r="D2451" s="9" t="s">
        <v>1036</v>
      </c>
      <c r="E2451" s="9"/>
      <c r="F2451" s="9"/>
      <c r="G2451" s="9"/>
      <c r="H2451" s="9"/>
      <c r="I2451" s="9"/>
      <c r="J2451" s="9"/>
      <c r="K2451" s="10"/>
      <c r="L2451" s="639"/>
    </row>
    <row r="2452" spans="2:12" ht="15">
      <c r="B2452" s="1005"/>
      <c r="C2452" s="1006"/>
      <c r="D2452" s="1006"/>
      <c r="E2452" s="1006"/>
      <c r="F2452" s="1006"/>
      <c r="G2452" s="1006"/>
      <c r="H2452" s="1006"/>
      <c r="I2452" s="1006"/>
      <c r="J2452" s="1006"/>
      <c r="K2452" s="1006"/>
      <c r="L2452" s="1007"/>
    </row>
    <row r="2453" spans="2:12" ht="47.25">
      <c r="B2453" s="653" t="s">
        <v>399</v>
      </c>
      <c r="C2453" s="25">
        <f>+'PROPUESTA ECONOMICA(Proponente)'!C286</f>
        <v>15.2</v>
      </c>
      <c r="D2453" s="12" t="str">
        <f>+VLOOKUP('MEMORIAS DE CANTIDADES'!C2453,'PROPUESTA ECONOMICA(Proponente)'!$C$21:$H$310,5,FALSE)</f>
        <v>EXCAVACIONES MECANICAS VARIAS EN MATERIAL COMUN SECO (Incluye cargue, transporte y disposición final)</v>
      </c>
      <c r="E2453" s="13"/>
      <c r="F2453" s="12"/>
      <c r="G2453" s="12"/>
      <c r="H2453" s="12"/>
      <c r="I2453" s="11" t="s">
        <v>400</v>
      </c>
      <c r="J2453" s="12" t="str">
        <f>+VLOOKUP('MEMORIAS DE CANTIDADES'!C2453,'PROPUESTA ECONOMICA(Proponente)'!$C$21:$H$310,6,FALSE)</f>
        <v>m3</v>
      </c>
      <c r="K2453" s="11" t="s">
        <v>401</v>
      </c>
      <c r="L2453" s="643">
        <f>SUM(L2454:L2462)</f>
        <v>2669.7</v>
      </c>
    </row>
    <row r="2454" spans="2:12" ht="15">
      <c r="B2454" s="644"/>
      <c r="C2454" s="16"/>
      <c r="D2454" s="15"/>
      <c r="E2454" s="15"/>
      <c r="F2454" s="15"/>
      <c r="G2454" s="15"/>
      <c r="H2454" s="15"/>
      <c r="I2454" s="15"/>
      <c r="J2454" s="15"/>
      <c r="K2454" s="17"/>
      <c r="L2454" s="645"/>
    </row>
    <row r="2455" spans="2:12" ht="47.25">
      <c r="B2455" s="646" t="s">
        <v>402</v>
      </c>
      <c r="C2455" s="18" t="s">
        <v>403</v>
      </c>
      <c r="D2455" s="18" t="s">
        <v>404</v>
      </c>
      <c r="E2455" s="18" t="s">
        <v>405</v>
      </c>
      <c r="F2455" s="18" t="s">
        <v>406</v>
      </c>
      <c r="G2455" s="18" t="s">
        <v>407</v>
      </c>
      <c r="H2455" s="5" t="s">
        <v>408</v>
      </c>
      <c r="I2455" s="18" t="s">
        <v>409</v>
      </c>
      <c r="J2455" s="5" t="s">
        <v>410</v>
      </c>
      <c r="K2455" s="5" t="s">
        <v>411</v>
      </c>
      <c r="L2455" s="647" t="s">
        <v>412</v>
      </c>
    </row>
    <row r="2456" spans="2:12" ht="15">
      <c r="B2456" s="648" t="s">
        <v>568</v>
      </c>
      <c r="C2456" s="19">
        <v>7775</v>
      </c>
      <c r="D2456" s="19"/>
      <c r="E2456" s="19">
        <v>0.3</v>
      </c>
      <c r="F2456" s="19"/>
      <c r="G2456" s="20"/>
      <c r="H2456" s="68"/>
      <c r="I2456" s="17"/>
      <c r="J2456" s="137"/>
      <c r="K2456" s="17"/>
      <c r="L2456" s="649">
        <f>PRODUCT(C2456:K2456)</f>
        <v>2332.5</v>
      </c>
    </row>
    <row r="2457" spans="2:12" ht="15">
      <c r="B2457" s="648"/>
      <c r="C2457" s="217"/>
      <c r="D2457" s="19"/>
      <c r="E2457" s="19"/>
      <c r="F2457" s="19"/>
      <c r="G2457" s="39"/>
      <c r="H2457" s="39"/>
      <c r="I2457" s="39"/>
      <c r="J2457" s="137"/>
      <c r="K2457" s="39"/>
      <c r="L2457" s="649"/>
    </row>
    <row r="2458" spans="2:12" ht="15">
      <c r="B2458" s="648" t="s">
        <v>872</v>
      </c>
      <c r="C2458" s="19">
        <v>1124</v>
      </c>
      <c r="D2458" s="19"/>
      <c r="E2458" s="19">
        <v>0.3</v>
      </c>
      <c r="F2458" s="19"/>
      <c r="G2458" s="20"/>
      <c r="H2458" s="68"/>
      <c r="I2458" s="17"/>
      <c r="J2458" s="137"/>
      <c r="K2458" s="17"/>
      <c r="L2458" s="649">
        <f>PRODUCT(C2458:K2458)</f>
        <v>337.2</v>
      </c>
    </row>
    <row r="2459" spans="2:12">
      <c r="B2459" s="655"/>
      <c r="C2459" s="39"/>
      <c r="D2459" s="39"/>
      <c r="E2459" s="39"/>
      <c r="F2459" s="39"/>
      <c r="G2459" s="39"/>
      <c r="H2459" s="39"/>
      <c r="I2459" s="39"/>
      <c r="J2459" s="39"/>
      <c r="K2459" s="39"/>
      <c r="L2459" s="738"/>
    </row>
    <row r="2460" spans="2:12">
      <c r="B2460" s="655"/>
      <c r="C2460" s="39"/>
      <c r="D2460" s="39"/>
      <c r="E2460" s="39"/>
      <c r="F2460" s="39"/>
      <c r="G2460" s="39"/>
      <c r="H2460" s="39"/>
      <c r="I2460" s="39"/>
      <c r="J2460" s="39"/>
      <c r="K2460" s="39"/>
      <c r="L2460" s="738"/>
    </row>
    <row r="2461" spans="2:12">
      <c r="B2461" s="655"/>
      <c r="C2461" s="39"/>
      <c r="D2461" s="39"/>
      <c r="E2461" s="39"/>
      <c r="F2461" s="39"/>
      <c r="G2461" s="39"/>
      <c r="H2461" s="39"/>
      <c r="I2461" s="39"/>
      <c r="J2461" s="39"/>
      <c r="K2461" s="39"/>
      <c r="L2461" s="738"/>
    </row>
    <row r="2462" spans="2:12" ht="15.75">
      <c r="B2462" s="1002"/>
      <c r="C2462" s="1003"/>
      <c r="D2462" s="1003"/>
      <c r="E2462" s="1003"/>
      <c r="F2462" s="1003"/>
      <c r="G2462" s="1003"/>
      <c r="H2462" s="1003"/>
      <c r="I2462" s="1003"/>
      <c r="J2462" s="1003"/>
      <c r="K2462" s="1003"/>
      <c r="L2462" s="1004"/>
    </row>
    <row r="2463" spans="2:12">
      <c r="B2463" s="651"/>
      <c r="L2463" s="652"/>
    </row>
    <row r="2464" spans="2:12" ht="15.75">
      <c r="B2464" s="638" t="s">
        <v>398</v>
      </c>
      <c r="C2464" s="8">
        <v>15</v>
      </c>
      <c r="D2464" s="9" t="s">
        <v>1036</v>
      </c>
      <c r="E2464" s="9"/>
      <c r="F2464" s="9"/>
      <c r="G2464" s="9"/>
      <c r="H2464" s="9"/>
      <c r="I2464" s="9"/>
      <c r="J2464" s="9"/>
      <c r="K2464" s="10"/>
      <c r="L2464" s="639"/>
    </row>
    <row r="2465" spans="2:12" ht="15">
      <c r="B2465" s="1005"/>
      <c r="C2465" s="1006"/>
      <c r="D2465" s="1006"/>
      <c r="E2465" s="1006"/>
      <c r="F2465" s="1006"/>
      <c r="G2465" s="1006"/>
      <c r="H2465" s="1006"/>
      <c r="I2465" s="1006"/>
      <c r="J2465" s="1006"/>
      <c r="K2465" s="1006"/>
      <c r="L2465" s="1007"/>
    </row>
    <row r="2466" spans="2:12" ht="78.75">
      <c r="B2466" s="642" t="s">
        <v>399</v>
      </c>
      <c r="C2466" s="25">
        <f>+'PROPUESTA ECONOMICA(Proponente)'!C287</f>
        <v>15.3</v>
      </c>
      <c r="D2466" s="12" t="str">
        <f>+VLOOKUP('MEMORIAS DE CANTIDADES'!C2466,'PROPUESTA ECONOMICA(Proponente)'!$C$21:$H$310,5,FALSE)</f>
        <v>RELLENO SELECCIONADO: Relleno compactado para área cimentaciones, con material seleccionado, zahorra al 95% del proctor estándar en cimentación. (suministro, humedecimiento y compactación)</v>
      </c>
      <c r="E2466" s="13"/>
      <c r="F2466" s="12"/>
      <c r="G2466" s="12"/>
      <c r="H2466" s="12"/>
      <c r="I2466" s="11" t="s">
        <v>400</v>
      </c>
      <c r="J2466" s="12" t="str">
        <f>+VLOOKUP('MEMORIAS DE CANTIDADES'!C2466,'PROPUESTA ECONOMICA(Proponente)'!$C$21:$H$310,6,FALSE)</f>
        <v>m3</v>
      </c>
      <c r="K2466" s="11" t="s">
        <v>401</v>
      </c>
      <c r="L2466" s="643">
        <f>SUM(L2467:L2475)</f>
        <v>7703.7400000000007</v>
      </c>
    </row>
    <row r="2467" spans="2:12" ht="15">
      <c r="B2467" s="644"/>
      <c r="C2467" s="16"/>
      <c r="D2467" s="15"/>
      <c r="E2467" s="15"/>
      <c r="F2467" s="15"/>
      <c r="G2467" s="15"/>
      <c r="H2467" s="15"/>
      <c r="I2467" s="15"/>
      <c r="J2467" s="15"/>
      <c r="K2467" s="17"/>
      <c r="L2467" s="645"/>
    </row>
    <row r="2468" spans="2:12" ht="47.25">
      <c r="B2468" s="646" t="s">
        <v>402</v>
      </c>
      <c r="C2468" s="18" t="s">
        <v>403</v>
      </c>
      <c r="D2468" s="18" t="s">
        <v>404</v>
      </c>
      <c r="E2468" s="18" t="s">
        <v>405</v>
      </c>
      <c r="F2468" s="18" t="s">
        <v>406</v>
      </c>
      <c r="G2468" s="18" t="s">
        <v>407</v>
      </c>
      <c r="H2468" s="5" t="s">
        <v>408</v>
      </c>
      <c r="I2468" s="18" t="s">
        <v>409</v>
      </c>
      <c r="J2468" s="5" t="s">
        <v>410</v>
      </c>
      <c r="K2468" s="5" t="s">
        <v>411</v>
      </c>
      <c r="L2468" s="647" t="s">
        <v>412</v>
      </c>
    </row>
    <row r="2469" spans="2:12" ht="22.5" customHeight="1">
      <c r="B2469" s="648" t="s">
        <v>568</v>
      </c>
      <c r="C2469" s="19">
        <v>7775</v>
      </c>
      <c r="D2469" s="19"/>
      <c r="E2469" s="19">
        <v>0.7</v>
      </c>
      <c r="F2469" s="19"/>
      <c r="G2469" s="20"/>
      <c r="H2469" s="68"/>
      <c r="I2469" s="17"/>
      <c r="J2469" s="28">
        <v>1.1000000000000001</v>
      </c>
      <c r="K2469" s="17"/>
      <c r="L2469" s="649">
        <f>PRODUCT(C2469:K2469)</f>
        <v>5986.7500000000009</v>
      </c>
    </row>
    <row r="2470" spans="2:12" ht="15">
      <c r="B2470" s="648" t="s">
        <v>871</v>
      </c>
      <c r="C2470" s="217">
        <v>322</v>
      </c>
      <c r="D2470" s="19"/>
      <c r="E2470" s="19">
        <v>0.7</v>
      </c>
      <c r="F2470" s="19"/>
      <c r="G2470" s="20"/>
      <c r="H2470" s="68"/>
      <c r="I2470" s="17"/>
      <c r="J2470" s="28">
        <v>1.1000000000000001</v>
      </c>
      <c r="K2470" s="17"/>
      <c r="L2470" s="649">
        <f t="shared" ref="L2470:L2472" si="184">PRODUCT(C2470:K2470)</f>
        <v>247.94</v>
      </c>
    </row>
    <row r="2471" spans="2:12" ht="15">
      <c r="B2471" s="648" t="s">
        <v>872</v>
      </c>
      <c r="C2471" s="19">
        <v>1124</v>
      </c>
      <c r="D2471" s="19"/>
      <c r="E2471" s="19">
        <v>0.5</v>
      </c>
      <c r="F2471" s="19"/>
      <c r="G2471" s="20"/>
      <c r="H2471" s="68"/>
      <c r="I2471" s="17"/>
      <c r="J2471" s="28">
        <v>1.1000000000000001</v>
      </c>
      <c r="K2471" s="17"/>
      <c r="L2471" s="649">
        <f t="shared" si="184"/>
        <v>618.20000000000005</v>
      </c>
    </row>
    <row r="2472" spans="2:12" ht="15">
      <c r="B2472" s="648" t="s">
        <v>569</v>
      </c>
      <c r="C2472" s="20">
        <v>1547</v>
      </c>
      <c r="D2472" s="19"/>
      <c r="E2472" s="19">
        <v>0.5</v>
      </c>
      <c r="F2472" s="19"/>
      <c r="G2472" s="20"/>
      <c r="H2472" s="68"/>
      <c r="I2472" s="17"/>
      <c r="J2472" s="28">
        <v>1.1000000000000001</v>
      </c>
      <c r="K2472" s="17"/>
      <c r="L2472" s="649">
        <f t="shared" si="184"/>
        <v>850.85</v>
      </c>
    </row>
    <row r="2473" spans="2:12" ht="15.75">
      <c r="B2473" s="759"/>
      <c r="C2473" s="20"/>
      <c r="D2473" s="19"/>
      <c r="E2473" s="19"/>
      <c r="F2473" s="19"/>
      <c r="G2473" s="20"/>
      <c r="H2473" s="68"/>
      <c r="I2473" s="17"/>
      <c r="J2473" s="69"/>
      <c r="K2473" s="17"/>
      <c r="L2473" s="649"/>
    </row>
    <row r="2474" spans="2:12" ht="15.75">
      <c r="B2474" s="759"/>
      <c r="C2474" s="20"/>
      <c r="D2474" s="19"/>
      <c r="E2474" s="19"/>
      <c r="F2474" s="19"/>
      <c r="G2474" s="20"/>
      <c r="H2474" s="68"/>
      <c r="I2474" s="17"/>
      <c r="J2474" s="69"/>
      <c r="K2474" s="17"/>
      <c r="L2474" s="649"/>
    </row>
    <row r="2475" spans="2:12" ht="15.75">
      <c r="B2475" s="1002"/>
      <c r="C2475" s="1003"/>
      <c r="D2475" s="1003"/>
      <c r="E2475" s="1003"/>
      <c r="F2475" s="1003"/>
      <c r="G2475" s="1003"/>
      <c r="H2475" s="1003"/>
      <c r="I2475" s="1003"/>
      <c r="J2475" s="1003"/>
      <c r="K2475" s="1003"/>
      <c r="L2475" s="1004"/>
    </row>
    <row r="2476" spans="2:12">
      <c r="B2476" s="651"/>
      <c r="L2476" s="652"/>
    </row>
    <row r="2477" spans="2:12" ht="15.75">
      <c r="B2477" s="638" t="s">
        <v>398</v>
      </c>
      <c r="C2477" s="8">
        <v>15</v>
      </c>
      <c r="D2477" s="9" t="s">
        <v>1036</v>
      </c>
      <c r="E2477" s="9"/>
      <c r="F2477" s="9"/>
      <c r="G2477" s="9"/>
      <c r="H2477" s="9"/>
      <c r="I2477" s="9"/>
      <c r="J2477" s="9"/>
      <c r="K2477" s="10"/>
      <c r="L2477" s="639"/>
    </row>
    <row r="2478" spans="2:12" ht="15">
      <c r="B2478" s="1005"/>
      <c r="C2478" s="1006"/>
      <c r="D2478" s="1006"/>
      <c r="E2478" s="1006"/>
      <c r="F2478" s="1006"/>
      <c r="G2478" s="1006"/>
      <c r="H2478" s="1006"/>
      <c r="I2478" s="1006"/>
      <c r="J2478" s="1006"/>
      <c r="K2478" s="1006"/>
      <c r="L2478" s="1007"/>
    </row>
    <row r="2479" spans="2:12" ht="63">
      <c r="B2479" s="642" t="s">
        <v>399</v>
      </c>
      <c r="C2479" s="25">
        <f>+'PROPUESTA ECONOMICA(Proponente)'!C288</f>
        <v>15.4</v>
      </c>
      <c r="D2479" s="12" t="str">
        <f>+VLOOKUP('MEMORIAS DE CANTIDADES'!C2479,'PROPUESTA ECONOMICA(Proponente)'!$C$21:$H$310,5,FALSE)</f>
        <v>Relleno de Subbase Granular clase C (incluye suministro, extendido, nivelación, humedecimiento y compactación con vibrocompactador)</v>
      </c>
      <c r="E2479" s="13"/>
      <c r="F2479" s="12"/>
      <c r="G2479" s="12"/>
      <c r="H2479" s="12"/>
      <c r="I2479" s="11" t="s">
        <v>400</v>
      </c>
      <c r="J2479" s="12" t="str">
        <f>+VLOOKUP('MEMORIAS DE CANTIDADES'!C2479,'PROPUESTA ECONOMICA(Proponente)'!$C$21:$H$310,6,FALSE)</f>
        <v>m3</v>
      </c>
      <c r="K2479" s="11" t="s">
        <v>401</v>
      </c>
      <c r="L2479" s="643">
        <f>SUM(L2480:L2487)</f>
        <v>309.40000000000003</v>
      </c>
    </row>
    <row r="2480" spans="2:12" ht="15">
      <c r="B2480" s="644"/>
      <c r="C2480" s="16"/>
      <c r="D2480" s="15"/>
      <c r="E2480" s="15"/>
      <c r="F2480" s="15"/>
      <c r="G2480" s="15"/>
      <c r="H2480" s="15"/>
      <c r="I2480" s="15"/>
      <c r="J2480" s="15"/>
      <c r="K2480" s="17"/>
      <c r="L2480" s="645"/>
    </row>
    <row r="2481" spans="2:12" ht="47.25">
      <c r="B2481" s="646" t="s">
        <v>402</v>
      </c>
      <c r="C2481" s="18" t="s">
        <v>403</v>
      </c>
      <c r="D2481" s="18" t="s">
        <v>404</v>
      </c>
      <c r="E2481" s="18" t="s">
        <v>405</v>
      </c>
      <c r="F2481" s="18" t="s">
        <v>406</v>
      </c>
      <c r="G2481" s="18" t="s">
        <v>407</v>
      </c>
      <c r="H2481" s="5" t="s">
        <v>408</v>
      </c>
      <c r="I2481" s="18" t="s">
        <v>409</v>
      </c>
      <c r="J2481" s="5" t="s">
        <v>410</v>
      </c>
      <c r="K2481" s="5" t="s">
        <v>411</v>
      </c>
      <c r="L2481" s="647" t="s">
        <v>412</v>
      </c>
    </row>
    <row r="2482" spans="2:12" ht="15">
      <c r="B2482" s="648" t="s">
        <v>569</v>
      </c>
      <c r="C2482" s="20">
        <v>1547</v>
      </c>
      <c r="D2482" s="19"/>
      <c r="E2482" s="19">
        <v>0.2</v>
      </c>
      <c r="F2482" s="19"/>
      <c r="G2482" s="20"/>
      <c r="H2482" s="68"/>
      <c r="I2482" s="17"/>
      <c r="J2482" s="28"/>
      <c r="K2482" s="17"/>
      <c r="L2482" s="649">
        <f>PRODUCT(C2482:K2482)</f>
        <v>309.40000000000003</v>
      </c>
    </row>
    <row r="2483" spans="2:12" ht="15">
      <c r="B2483" s="648"/>
      <c r="C2483" s="20"/>
      <c r="D2483" s="19"/>
      <c r="E2483" s="19"/>
      <c r="F2483" s="19"/>
      <c r="G2483" s="20"/>
      <c r="H2483" s="68"/>
      <c r="I2483" s="17"/>
      <c r="J2483" s="69"/>
      <c r="K2483" s="17"/>
      <c r="L2483" s="649"/>
    </row>
    <row r="2484" spans="2:12" ht="15">
      <c r="B2484" s="650"/>
      <c r="C2484" s="20"/>
      <c r="D2484" s="20"/>
      <c r="E2484" s="20"/>
      <c r="F2484" s="20"/>
      <c r="G2484" s="20"/>
      <c r="H2484" s="20"/>
      <c r="I2484" s="20"/>
      <c r="J2484" s="69"/>
      <c r="K2484" s="17"/>
      <c r="L2484" s="649"/>
    </row>
    <row r="2485" spans="2:12" ht="15">
      <c r="B2485" s="650"/>
      <c r="C2485" s="20"/>
      <c r="D2485" s="20"/>
      <c r="E2485" s="20"/>
      <c r="F2485" s="20"/>
      <c r="G2485" s="20"/>
      <c r="H2485" s="19"/>
      <c r="I2485" s="20"/>
      <c r="J2485" s="19"/>
      <c r="K2485" s="17"/>
      <c r="L2485" s="649"/>
    </row>
    <row r="2486" spans="2:12" ht="15">
      <c r="B2486" s="650"/>
      <c r="C2486" s="20"/>
      <c r="D2486" s="20"/>
      <c r="E2486" s="20"/>
      <c r="F2486" s="20"/>
      <c r="G2486" s="20"/>
      <c r="H2486" s="19"/>
      <c r="I2486" s="20"/>
      <c r="J2486" s="19"/>
      <c r="K2486" s="17"/>
      <c r="L2486" s="649"/>
    </row>
    <row r="2487" spans="2:12" ht="15.75">
      <c r="B2487" s="1002"/>
      <c r="C2487" s="1003"/>
      <c r="D2487" s="1003"/>
      <c r="E2487" s="1003"/>
      <c r="F2487" s="1003"/>
      <c r="G2487" s="1003"/>
      <c r="H2487" s="1003"/>
      <c r="I2487" s="1003"/>
      <c r="J2487" s="1003"/>
      <c r="K2487" s="1003"/>
      <c r="L2487" s="1004"/>
    </row>
    <row r="2488" spans="2:12">
      <c r="B2488" s="651"/>
      <c r="L2488" s="652"/>
    </row>
    <row r="2489" spans="2:12" ht="15.75">
      <c r="B2489" s="638" t="s">
        <v>398</v>
      </c>
      <c r="C2489" s="8">
        <v>15</v>
      </c>
      <c r="D2489" s="9" t="s">
        <v>1036</v>
      </c>
      <c r="E2489" s="9"/>
      <c r="F2489" s="9"/>
      <c r="G2489" s="9"/>
      <c r="H2489" s="9"/>
      <c r="I2489" s="9"/>
      <c r="J2489" s="9"/>
      <c r="K2489" s="10"/>
      <c r="L2489" s="639"/>
    </row>
    <row r="2490" spans="2:12" ht="15">
      <c r="B2490" s="1005"/>
      <c r="C2490" s="1006"/>
      <c r="D2490" s="1006"/>
      <c r="E2490" s="1006"/>
      <c r="F2490" s="1006"/>
      <c r="G2490" s="1006"/>
      <c r="H2490" s="1006"/>
      <c r="I2490" s="1006"/>
      <c r="J2490" s="1006"/>
      <c r="K2490" s="1006"/>
      <c r="L2490" s="1007"/>
    </row>
    <row r="2491" spans="2:12" ht="47.25">
      <c r="B2491" s="642" t="s">
        <v>399</v>
      </c>
      <c r="C2491" s="25">
        <f>+'PROPUESTA ECONOMICA(Proponente)'!C289</f>
        <v>15.5</v>
      </c>
      <c r="D2491" s="12" t="str">
        <f>+VLOOKUP('MEMORIAS DE CANTIDADES'!C2491,'PROPUESTA ECONOMICA(Proponente)'!$C$21:$H$310,5,FALSE)</f>
        <v>Losas en concreto Mr 42 Mpa psi para parqueaderos , (Incluye suministro y colocación de concreto).</v>
      </c>
      <c r="E2491" s="13"/>
      <c r="F2491" s="12"/>
      <c r="G2491" s="12"/>
      <c r="H2491" s="12"/>
      <c r="I2491" s="11" t="s">
        <v>400</v>
      </c>
      <c r="J2491" s="12" t="str">
        <f>+VLOOKUP('MEMORIAS DE CANTIDADES'!C2491,'PROPUESTA ECONOMICA(Proponente)'!$C$21:$H$310,6,FALSE)</f>
        <v>m3</v>
      </c>
      <c r="K2491" s="11" t="s">
        <v>401</v>
      </c>
      <c r="L2491" s="643">
        <f>SUM(L2492:L2499)</f>
        <v>309.40000000000003</v>
      </c>
    </row>
    <row r="2492" spans="2:12" ht="15">
      <c r="B2492" s="644"/>
      <c r="C2492" s="16"/>
      <c r="D2492" s="15"/>
      <c r="E2492" s="15"/>
      <c r="F2492" s="15"/>
      <c r="G2492" s="15"/>
      <c r="H2492" s="15"/>
      <c r="I2492" s="15"/>
      <c r="J2492" s="15"/>
      <c r="K2492" s="17"/>
      <c r="L2492" s="645"/>
    </row>
    <row r="2493" spans="2:12" ht="47.25">
      <c r="B2493" s="646" t="s">
        <v>402</v>
      </c>
      <c r="C2493" s="18" t="s">
        <v>403</v>
      </c>
      <c r="D2493" s="18" t="s">
        <v>404</v>
      </c>
      <c r="E2493" s="18" t="s">
        <v>405</v>
      </c>
      <c r="F2493" s="18" t="s">
        <v>406</v>
      </c>
      <c r="G2493" s="18" t="s">
        <v>407</v>
      </c>
      <c r="H2493" s="5" t="s">
        <v>408</v>
      </c>
      <c r="I2493" s="18" t="s">
        <v>409</v>
      </c>
      <c r="J2493" s="5" t="s">
        <v>410</v>
      </c>
      <c r="K2493" s="5" t="s">
        <v>411</v>
      </c>
      <c r="L2493" s="647" t="s">
        <v>412</v>
      </c>
    </row>
    <row r="2494" spans="2:12" ht="15">
      <c r="B2494" s="648" t="s">
        <v>569</v>
      </c>
      <c r="C2494" s="20">
        <v>1547</v>
      </c>
      <c r="D2494" s="19"/>
      <c r="E2494" s="19">
        <v>0.2</v>
      </c>
      <c r="F2494" s="19"/>
      <c r="G2494" s="20"/>
      <c r="H2494" s="68"/>
      <c r="I2494" s="17"/>
      <c r="J2494" s="28"/>
      <c r="K2494" s="17"/>
      <c r="L2494" s="649">
        <f>PRODUCT(C2494:K2494)</f>
        <v>309.40000000000003</v>
      </c>
    </row>
    <row r="2495" spans="2:12" ht="15">
      <c r="B2495" s="648"/>
      <c r="C2495" s="20"/>
      <c r="D2495" s="19"/>
      <c r="E2495" s="19"/>
      <c r="F2495" s="19"/>
      <c r="G2495" s="20"/>
      <c r="H2495" s="68"/>
      <c r="I2495" s="17"/>
      <c r="J2495" s="69"/>
      <c r="K2495" s="17"/>
      <c r="L2495" s="649"/>
    </row>
    <row r="2496" spans="2:12" ht="15">
      <c r="B2496" s="650"/>
      <c r="C2496" s="20"/>
      <c r="D2496" s="20"/>
      <c r="E2496" s="20"/>
      <c r="F2496" s="20"/>
      <c r="G2496" s="20"/>
      <c r="H2496" s="20"/>
      <c r="I2496" s="20"/>
      <c r="J2496" s="69"/>
      <c r="K2496" s="17"/>
      <c r="L2496" s="649"/>
    </row>
    <row r="2497" spans="2:12" ht="15">
      <c r="B2497" s="650"/>
      <c r="C2497" s="20"/>
      <c r="D2497" s="20"/>
      <c r="E2497" s="20"/>
      <c r="F2497" s="20"/>
      <c r="G2497" s="20"/>
      <c r="H2497" s="19"/>
      <c r="I2497" s="20"/>
      <c r="J2497" s="19"/>
      <c r="K2497" s="17"/>
      <c r="L2497" s="649"/>
    </row>
    <row r="2498" spans="2:12" ht="15">
      <c r="B2498" s="650"/>
      <c r="C2498" s="20"/>
      <c r="D2498" s="20"/>
      <c r="E2498" s="20"/>
      <c r="F2498" s="20"/>
      <c r="G2498" s="20"/>
      <c r="H2498" s="19"/>
      <c r="I2498" s="20"/>
      <c r="J2498" s="19"/>
      <c r="K2498" s="17"/>
      <c r="L2498" s="649"/>
    </row>
    <row r="2499" spans="2:12" ht="15.75">
      <c r="B2499" s="1002"/>
      <c r="C2499" s="1003"/>
      <c r="D2499" s="1003"/>
      <c r="E2499" s="1003"/>
      <c r="F2499" s="1003"/>
      <c r="G2499" s="1003"/>
      <c r="H2499" s="1003"/>
      <c r="I2499" s="1003"/>
      <c r="J2499" s="1003"/>
      <c r="K2499" s="1003"/>
      <c r="L2499" s="1004"/>
    </row>
    <row r="2500" spans="2:12">
      <c r="B2500" s="651"/>
      <c r="L2500" s="652"/>
    </row>
    <row r="2501" spans="2:12" ht="15.75">
      <c r="B2501" s="638" t="s">
        <v>398</v>
      </c>
      <c r="C2501" s="8">
        <v>15</v>
      </c>
      <c r="D2501" s="9" t="s">
        <v>1036</v>
      </c>
      <c r="E2501" s="9"/>
      <c r="F2501" s="9"/>
      <c r="G2501" s="9"/>
      <c r="H2501" s="9"/>
      <c r="I2501" s="9"/>
      <c r="J2501" s="9"/>
      <c r="K2501" s="10"/>
      <c r="L2501" s="639"/>
    </row>
    <row r="2502" spans="2:12" ht="15">
      <c r="B2502" s="1005"/>
      <c r="C2502" s="1006"/>
      <c r="D2502" s="1006"/>
      <c r="E2502" s="1006"/>
      <c r="F2502" s="1006"/>
      <c r="G2502" s="1006"/>
      <c r="H2502" s="1006"/>
      <c r="I2502" s="1006"/>
      <c r="J2502" s="1006"/>
      <c r="K2502" s="1006"/>
      <c r="L2502" s="1007"/>
    </row>
    <row r="2503" spans="2:12" ht="47.25">
      <c r="B2503" s="642" t="s">
        <v>399</v>
      </c>
      <c r="C2503" s="25">
        <f>+'PROPUESTA ECONOMICA(Proponente)'!C290</f>
        <v>15.6</v>
      </c>
      <c r="D2503" s="12" t="str">
        <f>+VLOOKUP('MEMORIAS DE CANTIDADES'!C2503,'PROPUESTA ECONOMICA(Proponente)'!$C$21:$H$310,5,FALSE)</f>
        <v>Sardinel H=0.3, E=0.15 en concreto 3000 psi (incluye suministro, acero de refuerzo, formaleta y construcción).</v>
      </c>
      <c r="E2503" s="13"/>
      <c r="F2503" s="12"/>
      <c r="G2503" s="12"/>
      <c r="H2503" s="12"/>
      <c r="I2503" s="11" t="s">
        <v>400</v>
      </c>
      <c r="J2503" s="12" t="str">
        <f>+VLOOKUP('MEMORIAS DE CANTIDADES'!C2503,'PROPUESTA ECONOMICA(Proponente)'!$C$21:$H$310,6,FALSE)</f>
        <v>ml</v>
      </c>
      <c r="K2503" s="11" t="s">
        <v>401</v>
      </c>
      <c r="L2503" s="643">
        <f>SUM(L2504:L2514)</f>
        <v>1610</v>
      </c>
    </row>
    <row r="2504" spans="2:12" ht="15">
      <c r="B2504" s="644"/>
      <c r="C2504" s="16"/>
      <c r="D2504" s="15"/>
      <c r="E2504" s="15"/>
      <c r="F2504" s="15"/>
      <c r="G2504" s="15"/>
      <c r="H2504" s="15"/>
      <c r="I2504" s="15"/>
      <c r="J2504" s="15"/>
      <c r="K2504" s="17"/>
      <c r="L2504" s="645"/>
    </row>
    <row r="2505" spans="2:12" ht="47.25">
      <c r="B2505" s="646" t="s">
        <v>402</v>
      </c>
      <c r="C2505" s="18" t="s">
        <v>403</v>
      </c>
      <c r="D2505" s="18" t="s">
        <v>404</v>
      </c>
      <c r="E2505" s="18" t="s">
        <v>405</v>
      </c>
      <c r="F2505" s="18" t="s">
        <v>406</v>
      </c>
      <c r="G2505" s="18" t="s">
        <v>407</v>
      </c>
      <c r="H2505" s="5" t="s">
        <v>408</v>
      </c>
      <c r="I2505" s="18" t="s">
        <v>409</v>
      </c>
      <c r="J2505" s="5" t="s">
        <v>410</v>
      </c>
      <c r="K2505" s="5" t="s">
        <v>411</v>
      </c>
      <c r="L2505" s="647" t="s">
        <v>412</v>
      </c>
    </row>
    <row r="2506" spans="2:12" ht="15">
      <c r="B2506" s="648" t="s">
        <v>569</v>
      </c>
      <c r="C2506" s="19"/>
      <c r="D2506" s="19"/>
      <c r="E2506" s="19"/>
      <c r="F2506" s="19">
        <v>270</v>
      </c>
      <c r="G2506" s="20"/>
      <c r="H2506" s="68"/>
      <c r="I2506" s="17">
        <v>1</v>
      </c>
      <c r="J2506" s="28"/>
      <c r="K2506" s="17"/>
      <c r="L2506" s="649">
        <f>PRODUCT(C2506:K2506)</f>
        <v>270</v>
      </c>
    </row>
    <row r="2507" spans="2:12" ht="15">
      <c r="B2507" s="648" t="s">
        <v>570</v>
      </c>
      <c r="C2507" s="20"/>
      <c r="D2507" s="19"/>
      <c r="E2507" s="19"/>
      <c r="F2507" s="19">
        <v>464</v>
      </c>
      <c r="G2507" s="20"/>
      <c r="H2507" s="68"/>
      <c r="I2507" s="17">
        <v>1</v>
      </c>
      <c r="J2507" s="69"/>
      <c r="K2507" s="17"/>
      <c r="L2507" s="649">
        <f t="shared" ref="L2507:L2510" si="185">PRODUCT(C2507:K2507)</f>
        <v>464</v>
      </c>
    </row>
    <row r="2508" spans="2:12" ht="15">
      <c r="B2508" s="648" t="s">
        <v>851</v>
      </c>
      <c r="C2508" s="20"/>
      <c r="D2508" s="19"/>
      <c r="E2508" s="19"/>
      <c r="F2508" s="19">
        <v>121</v>
      </c>
      <c r="G2508" s="20"/>
      <c r="H2508" s="68"/>
      <c r="I2508" s="17">
        <v>1</v>
      </c>
      <c r="J2508" s="69"/>
      <c r="K2508" s="17"/>
      <c r="L2508" s="649">
        <f t="shared" si="185"/>
        <v>121</v>
      </c>
    </row>
    <row r="2509" spans="2:12" ht="15">
      <c r="B2509" s="648" t="s">
        <v>868</v>
      </c>
      <c r="C2509" s="20"/>
      <c r="D2509" s="19"/>
      <c r="E2509" s="19"/>
      <c r="F2509" s="19">
        <v>445</v>
      </c>
      <c r="G2509" s="20"/>
      <c r="H2509" s="68"/>
      <c r="I2509" s="17">
        <v>1</v>
      </c>
      <c r="J2509" s="69"/>
      <c r="K2509" s="17"/>
      <c r="L2509" s="649">
        <f t="shared" si="185"/>
        <v>445</v>
      </c>
    </row>
    <row r="2510" spans="2:12" ht="15">
      <c r="B2510" s="650" t="s">
        <v>782</v>
      </c>
      <c r="C2510" s="20"/>
      <c r="D2510" s="20"/>
      <c r="E2510" s="20"/>
      <c r="F2510" s="20">
        <v>310</v>
      </c>
      <c r="G2510" s="20"/>
      <c r="H2510" s="68"/>
      <c r="I2510" s="17">
        <v>1</v>
      </c>
      <c r="J2510" s="69"/>
      <c r="K2510" s="17"/>
      <c r="L2510" s="649">
        <f t="shared" si="185"/>
        <v>310</v>
      </c>
    </row>
    <row r="2511" spans="2:12" ht="15">
      <c r="B2511" s="648"/>
      <c r="C2511" s="20"/>
      <c r="D2511" s="19"/>
      <c r="E2511" s="19"/>
      <c r="F2511" s="19"/>
      <c r="G2511" s="20"/>
      <c r="H2511" s="68"/>
      <c r="I2511" s="17"/>
      <c r="J2511" s="69"/>
      <c r="K2511" s="17"/>
      <c r="L2511" s="649"/>
    </row>
    <row r="2512" spans="2:12" ht="15">
      <c r="B2512" s="650"/>
      <c r="C2512" s="20"/>
      <c r="D2512" s="20"/>
      <c r="E2512" s="20"/>
      <c r="F2512" s="20"/>
      <c r="G2512" s="20"/>
      <c r="H2512" s="20"/>
      <c r="I2512" s="20"/>
      <c r="J2512" s="69"/>
      <c r="K2512" s="17"/>
      <c r="L2512" s="649"/>
    </row>
    <row r="2513" spans="2:12" ht="15">
      <c r="B2513" s="650"/>
      <c r="C2513" s="20"/>
      <c r="D2513" s="20"/>
      <c r="E2513" s="20"/>
      <c r="F2513" s="20"/>
      <c r="G2513" s="20"/>
      <c r="H2513" s="19"/>
      <c r="I2513" s="20"/>
      <c r="J2513" s="19"/>
      <c r="K2513" s="17"/>
      <c r="L2513" s="649"/>
    </row>
    <row r="2514" spans="2:12" ht="15.75">
      <c r="B2514" s="1002"/>
      <c r="C2514" s="1003"/>
      <c r="D2514" s="1003"/>
      <c r="E2514" s="1003"/>
      <c r="F2514" s="1003"/>
      <c r="G2514" s="1003"/>
      <c r="H2514" s="1003"/>
      <c r="I2514" s="1003"/>
      <c r="J2514" s="1003"/>
      <c r="K2514" s="1003"/>
      <c r="L2514" s="1004"/>
    </row>
    <row r="2515" spans="2:12">
      <c r="B2515" s="651"/>
      <c r="L2515" s="652"/>
    </row>
    <row r="2516" spans="2:12" ht="15.75">
      <c r="B2516" s="638" t="s">
        <v>398</v>
      </c>
      <c r="C2516" s="8">
        <v>15</v>
      </c>
      <c r="D2516" s="9" t="s">
        <v>1036</v>
      </c>
      <c r="E2516" s="9"/>
      <c r="F2516" s="9"/>
      <c r="G2516" s="9"/>
      <c r="H2516" s="9"/>
      <c r="I2516" s="9"/>
      <c r="J2516" s="9"/>
      <c r="K2516" s="10"/>
      <c r="L2516" s="639"/>
    </row>
    <row r="2517" spans="2:12" ht="15">
      <c r="B2517" s="1005"/>
      <c r="C2517" s="1006"/>
      <c r="D2517" s="1006"/>
      <c r="E2517" s="1006"/>
      <c r="F2517" s="1006"/>
      <c r="G2517" s="1006"/>
      <c r="H2517" s="1006"/>
      <c r="I2517" s="1006"/>
      <c r="J2517" s="1006"/>
      <c r="K2517" s="1006"/>
      <c r="L2517" s="1007"/>
    </row>
    <row r="2518" spans="2:12" ht="47.25">
      <c r="B2518" s="642" t="s">
        <v>399</v>
      </c>
      <c r="C2518" s="25">
        <f>+'PROPUESTA ECONOMICA(Proponente)'!C291</f>
        <v>15.7</v>
      </c>
      <c r="D2518" s="12" t="str">
        <f>+VLOOKUP('MEMORIAS DE CANTIDADES'!C2518,'PROPUESTA ECONOMICA(Proponente)'!$C$21:$H$310,5,FALSE)</f>
        <v>Plantilla para piso e: 0,1 m (incluye malla electrosoldada, suministro, instalación de concreto 3000PSI y formaleta).</v>
      </c>
      <c r="E2518" s="13"/>
      <c r="F2518" s="12"/>
      <c r="G2518" s="12"/>
      <c r="H2518" s="12"/>
      <c r="I2518" s="11" t="s">
        <v>400</v>
      </c>
      <c r="J2518" s="12" t="str">
        <f>+VLOOKUP('MEMORIAS DE CANTIDADES'!C2518,'PROPUESTA ECONOMICA(Proponente)'!$C$21:$H$310,6,FALSE)</f>
        <v>M2</v>
      </c>
      <c r="K2518" s="11" t="s">
        <v>401</v>
      </c>
      <c r="L2518" s="643">
        <f>SUM(L2519:L2527)</f>
        <v>0</v>
      </c>
    </row>
    <row r="2519" spans="2:12" ht="15">
      <c r="B2519" s="644"/>
      <c r="C2519" s="16"/>
      <c r="D2519" s="15"/>
      <c r="E2519" s="15"/>
      <c r="F2519" s="15"/>
      <c r="G2519" s="15"/>
      <c r="H2519" s="15"/>
      <c r="I2519" s="15"/>
      <c r="J2519" s="15"/>
      <c r="K2519" s="17"/>
      <c r="L2519" s="645"/>
    </row>
    <row r="2520" spans="2:12" ht="47.25">
      <c r="B2520" s="646" t="s">
        <v>402</v>
      </c>
      <c r="C2520" s="18" t="s">
        <v>403</v>
      </c>
      <c r="D2520" s="18" t="s">
        <v>404</v>
      </c>
      <c r="E2520" s="18" t="s">
        <v>405</v>
      </c>
      <c r="F2520" s="18" t="s">
        <v>406</v>
      </c>
      <c r="G2520" s="18" t="s">
        <v>407</v>
      </c>
      <c r="H2520" s="5" t="s">
        <v>408</v>
      </c>
      <c r="I2520" s="18" t="s">
        <v>409</v>
      </c>
      <c r="J2520" s="5" t="s">
        <v>410</v>
      </c>
      <c r="K2520" s="5" t="s">
        <v>411</v>
      </c>
      <c r="L2520" s="647" t="s">
        <v>412</v>
      </c>
    </row>
    <row r="2521" spans="2:12" ht="15.75">
      <c r="B2521" s="759" t="s">
        <v>838</v>
      </c>
      <c r="C2521" s="19"/>
      <c r="D2521" s="19"/>
      <c r="E2521" s="19"/>
      <c r="F2521" s="19"/>
      <c r="G2521" s="20"/>
      <c r="H2521" s="68"/>
      <c r="I2521" s="17"/>
      <c r="J2521" s="28"/>
      <c r="K2521" s="17"/>
      <c r="L2521" s="649"/>
    </row>
    <row r="2522" spans="2:12" ht="15">
      <c r="B2522" s="648"/>
      <c r="C2522" s="19"/>
      <c r="D2522" s="19"/>
      <c r="E2522" s="19"/>
      <c r="F2522" s="19"/>
      <c r="G2522" s="20"/>
      <c r="H2522" s="68"/>
      <c r="I2522" s="17"/>
      <c r="J2522" s="28"/>
      <c r="K2522" s="17"/>
      <c r="L2522" s="649">
        <f t="shared" ref="L2522" si="186">PRODUCT(C2522:K2522)</f>
        <v>0</v>
      </c>
    </row>
    <row r="2523" spans="2:12" ht="15">
      <c r="B2523" s="648"/>
      <c r="C2523" s="19"/>
      <c r="D2523" s="19"/>
      <c r="E2523" s="19"/>
      <c r="F2523" s="19"/>
      <c r="G2523" s="20"/>
      <c r="H2523" s="68"/>
      <c r="I2523" s="17"/>
      <c r="J2523" s="28"/>
      <c r="K2523" s="17"/>
      <c r="L2523" s="649"/>
    </row>
    <row r="2524" spans="2:12" ht="15">
      <c r="B2524" s="648"/>
      <c r="C2524" s="19"/>
      <c r="D2524" s="19"/>
      <c r="E2524" s="19"/>
      <c r="F2524" s="19"/>
      <c r="G2524" s="20"/>
      <c r="H2524" s="68"/>
      <c r="I2524" s="17"/>
      <c r="J2524" s="28"/>
      <c r="K2524" s="17"/>
      <c r="L2524" s="649"/>
    </row>
    <row r="2525" spans="2:12" ht="15">
      <c r="B2525" s="648"/>
      <c r="C2525" s="19"/>
      <c r="D2525" s="19"/>
      <c r="E2525" s="19"/>
      <c r="F2525" s="19"/>
      <c r="G2525" s="20"/>
      <c r="H2525" s="68"/>
      <c r="I2525" s="17"/>
      <c r="J2525" s="28"/>
      <c r="K2525" s="17"/>
      <c r="L2525" s="649"/>
    </row>
    <row r="2526" spans="2:12" ht="15">
      <c r="B2526" s="650"/>
      <c r="C2526" s="20"/>
      <c r="D2526" s="20"/>
      <c r="E2526" s="20"/>
      <c r="F2526" s="20"/>
      <c r="G2526" s="20"/>
      <c r="H2526" s="19"/>
      <c r="I2526" s="20"/>
      <c r="J2526" s="19"/>
      <c r="K2526" s="17"/>
      <c r="L2526" s="649"/>
    </row>
    <row r="2527" spans="2:12" ht="15.75">
      <c r="B2527" s="1002"/>
      <c r="C2527" s="1003"/>
      <c r="D2527" s="1003"/>
      <c r="E2527" s="1003"/>
      <c r="F2527" s="1003"/>
      <c r="G2527" s="1003"/>
      <c r="H2527" s="1003"/>
      <c r="I2527" s="1003"/>
      <c r="J2527" s="1003"/>
      <c r="K2527" s="1003"/>
      <c r="L2527" s="1004"/>
    </row>
    <row r="2528" spans="2:12">
      <c r="B2528" s="651"/>
      <c r="L2528" s="652"/>
    </row>
    <row r="2529" spans="2:12" ht="15.75">
      <c r="B2529" s="638" t="s">
        <v>398</v>
      </c>
      <c r="C2529" s="8">
        <v>15</v>
      </c>
      <c r="D2529" s="9" t="s">
        <v>1036</v>
      </c>
      <c r="E2529" s="9"/>
      <c r="F2529" s="9"/>
      <c r="G2529" s="9"/>
      <c r="H2529" s="9"/>
      <c r="I2529" s="9"/>
      <c r="J2529" s="9"/>
      <c r="K2529" s="10"/>
      <c r="L2529" s="639"/>
    </row>
    <row r="2530" spans="2:12" ht="15">
      <c r="B2530" s="1005"/>
      <c r="C2530" s="1006"/>
      <c r="D2530" s="1006"/>
      <c r="E2530" s="1006"/>
      <c r="F2530" s="1006"/>
      <c r="G2530" s="1006"/>
      <c r="H2530" s="1006"/>
      <c r="I2530" s="1006"/>
      <c r="J2530" s="1006"/>
      <c r="K2530" s="1006"/>
      <c r="L2530" s="1007"/>
    </row>
    <row r="2531" spans="2:12" ht="63">
      <c r="B2531" s="642" t="s">
        <v>399</v>
      </c>
      <c r="C2531" s="25">
        <f>+'PROPUESTA ECONOMICA(Proponente)'!C292</f>
        <v>15.8</v>
      </c>
      <c r="D2531" s="12" t="str">
        <f>+VLOOKUP('MEMORIAS DE CANTIDADES'!C2531,'PROPUESTA ECONOMICA(Proponente)'!$C$21:$H$310,5,FALSE)</f>
        <v>Piso en loseta prefabricadas A60 (400x200x60mm) o similar (incluye, Suministro e instalación y 4 cm de arena de nivelación y arena de sello).</v>
      </c>
      <c r="E2531" s="13"/>
      <c r="F2531" s="12"/>
      <c r="G2531" s="12"/>
      <c r="H2531" s="12"/>
      <c r="I2531" s="11" t="s">
        <v>400</v>
      </c>
      <c r="J2531" s="12" t="str">
        <f>+VLOOKUP('MEMORIAS DE CANTIDADES'!C2531,'PROPUESTA ECONOMICA(Proponente)'!$C$21:$H$310,6,FALSE)</f>
        <v>M2</v>
      </c>
      <c r="K2531" s="11" t="s">
        <v>401</v>
      </c>
      <c r="L2531" s="643">
        <f>SUM(L2532:L2539)</f>
        <v>5615.75</v>
      </c>
    </row>
    <row r="2532" spans="2:12" ht="15">
      <c r="B2532" s="644"/>
      <c r="C2532" s="16"/>
      <c r="D2532" s="15"/>
      <c r="E2532" s="15"/>
      <c r="F2532" s="15"/>
      <c r="G2532" s="15"/>
      <c r="H2532" s="15"/>
      <c r="I2532" s="15"/>
      <c r="J2532" s="15"/>
      <c r="K2532" s="17"/>
      <c r="L2532" s="645"/>
    </row>
    <row r="2533" spans="2:12" ht="47.25">
      <c r="B2533" s="646" t="s">
        <v>402</v>
      </c>
      <c r="C2533" s="18" t="s">
        <v>403</v>
      </c>
      <c r="D2533" s="18" t="s">
        <v>404</v>
      </c>
      <c r="E2533" s="18" t="s">
        <v>405</v>
      </c>
      <c r="F2533" s="18" t="s">
        <v>406</v>
      </c>
      <c r="G2533" s="18" t="s">
        <v>407</v>
      </c>
      <c r="H2533" s="5" t="s">
        <v>408</v>
      </c>
      <c r="I2533" s="18" t="s">
        <v>409</v>
      </c>
      <c r="J2533" s="5" t="s">
        <v>410</v>
      </c>
      <c r="K2533" s="5" t="s">
        <v>411</v>
      </c>
      <c r="L2533" s="647" t="s">
        <v>412</v>
      </c>
    </row>
    <row r="2534" spans="2:12" ht="15">
      <c r="B2534" s="648" t="s">
        <v>869</v>
      </c>
      <c r="C2534" s="72">
        <v>3500</v>
      </c>
      <c r="D2534" s="19"/>
      <c r="E2534" s="19"/>
      <c r="F2534" s="19"/>
      <c r="G2534" s="20"/>
      <c r="H2534" s="68"/>
      <c r="I2534" s="17"/>
      <c r="J2534" s="28"/>
      <c r="K2534" s="17"/>
      <c r="L2534" s="649">
        <f t="shared" ref="L2534:L2537" si="187">PRODUCT(C2534:K2534)</f>
        <v>3500</v>
      </c>
    </row>
    <row r="2535" spans="2:12" ht="15">
      <c r="B2535" s="648" t="s">
        <v>870</v>
      </c>
      <c r="C2535" s="72">
        <f>995*1.05</f>
        <v>1044.75</v>
      </c>
      <c r="D2535" s="19"/>
      <c r="E2535" s="19"/>
      <c r="F2535" s="19"/>
      <c r="G2535" s="20"/>
      <c r="H2535" s="68"/>
      <c r="I2535" s="17"/>
      <c r="J2535" s="28"/>
      <c r="K2535" s="17"/>
      <c r="L2535" s="649">
        <f t="shared" si="187"/>
        <v>1044.75</v>
      </c>
    </row>
    <row r="2536" spans="2:12" ht="15">
      <c r="B2536" s="648" t="s">
        <v>782</v>
      </c>
      <c r="C2536" s="72">
        <f>592*1.05</f>
        <v>621.6</v>
      </c>
      <c r="D2536" s="19"/>
      <c r="E2536" s="19"/>
      <c r="F2536" s="19"/>
      <c r="G2536" s="20"/>
      <c r="H2536" s="68"/>
      <c r="I2536" s="17"/>
      <c r="J2536" s="28"/>
      <c r="K2536" s="17"/>
      <c r="L2536" s="649">
        <f t="shared" si="187"/>
        <v>621.6</v>
      </c>
    </row>
    <row r="2537" spans="2:12" ht="15">
      <c r="B2537" s="648" t="s">
        <v>1076</v>
      </c>
      <c r="C2537" s="19">
        <f>428*1.05</f>
        <v>449.40000000000003</v>
      </c>
      <c r="D2537" s="19"/>
      <c r="E2537" s="19"/>
      <c r="F2537" s="19"/>
      <c r="G2537" s="20"/>
      <c r="H2537" s="68"/>
      <c r="I2537" s="17"/>
      <c r="J2537" s="28"/>
      <c r="K2537" s="17"/>
      <c r="L2537" s="649">
        <f t="shared" si="187"/>
        <v>449.40000000000003</v>
      </c>
    </row>
    <row r="2538" spans="2:12" ht="15">
      <c r="B2538" s="650"/>
      <c r="C2538" s="20"/>
      <c r="D2538" s="20"/>
      <c r="E2538" s="20"/>
      <c r="F2538" s="20"/>
      <c r="G2538" s="20"/>
      <c r="H2538" s="19"/>
      <c r="I2538" s="20"/>
      <c r="J2538" s="19"/>
      <c r="K2538" s="17"/>
      <c r="L2538" s="649"/>
    </row>
    <row r="2539" spans="2:12" ht="15.75">
      <c r="B2539" s="1002"/>
      <c r="C2539" s="1003"/>
      <c r="D2539" s="1003"/>
      <c r="E2539" s="1003"/>
      <c r="F2539" s="1003"/>
      <c r="G2539" s="1003"/>
      <c r="H2539" s="1003"/>
      <c r="I2539" s="1003"/>
      <c r="J2539" s="1003"/>
      <c r="K2539" s="1003"/>
      <c r="L2539" s="1004"/>
    </row>
    <row r="2540" spans="2:12">
      <c r="B2540" s="651"/>
      <c r="L2540" s="652"/>
    </row>
    <row r="2541" spans="2:12" ht="15.75">
      <c r="B2541" s="638" t="s">
        <v>398</v>
      </c>
      <c r="C2541" s="8">
        <v>15</v>
      </c>
      <c r="D2541" s="9" t="s">
        <v>1036</v>
      </c>
      <c r="E2541" s="9"/>
      <c r="F2541" s="9"/>
      <c r="G2541" s="9"/>
      <c r="H2541" s="9"/>
      <c r="I2541" s="9"/>
      <c r="J2541" s="9"/>
      <c r="K2541" s="10"/>
      <c r="L2541" s="639"/>
    </row>
    <row r="2542" spans="2:12" ht="15">
      <c r="B2542" s="1005"/>
      <c r="C2542" s="1006"/>
      <c r="D2542" s="1006"/>
      <c r="E2542" s="1006"/>
      <c r="F2542" s="1006"/>
      <c r="G2542" s="1006"/>
      <c r="H2542" s="1006"/>
      <c r="I2542" s="1006"/>
      <c r="J2542" s="1006"/>
      <c r="K2542" s="1006"/>
      <c r="L2542" s="1007"/>
    </row>
    <row r="2543" spans="2:12" ht="31.5">
      <c r="B2543" s="642" t="s">
        <v>399</v>
      </c>
      <c r="C2543" s="25">
        <f>+'PROPUESTA ECONOMICA(Proponente)'!C293</f>
        <v>15.9</v>
      </c>
      <c r="D2543" s="12" t="str">
        <f>+VLOOKUP('MEMORIAS DE CANTIDADES'!C2543,'PROPUESTA ECONOMICA(Proponente)'!$C$21:$H$310,5,FALSE)</f>
        <v>Suministro e instalación de Gramoquin - Ecológico.</v>
      </c>
      <c r="E2543" s="13"/>
      <c r="F2543" s="12"/>
      <c r="G2543" s="12"/>
      <c r="H2543" s="12"/>
      <c r="I2543" s="11" t="s">
        <v>400</v>
      </c>
      <c r="J2543" s="12" t="str">
        <f>+VLOOKUP('MEMORIAS DE CANTIDADES'!C2543,'PROPUESTA ECONOMICA(Proponente)'!$C$21:$H$310,6,FALSE)</f>
        <v>M2</v>
      </c>
      <c r="K2543" s="11" t="s">
        <v>401</v>
      </c>
      <c r="L2543" s="643">
        <f>SUM(L2544:L2550)</f>
        <v>743</v>
      </c>
    </row>
    <row r="2544" spans="2:12" ht="15">
      <c r="B2544" s="644"/>
      <c r="C2544" s="16"/>
      <c r="D2544" s="15"/>
      <c r="E2544" s="15"/>
      <c r="F2544" s="15"/>
      <c r="G2544" s="15"/>
      <c r="H2544" s="15"/>
      <c r="I2544" s="15"/>
      <c r="J2544" s="15"/>
      <c r="K2544" s="17"/>
      <c r="L2544" s="645"/>
    </row>
    <row r="2545" spans="2:12" ht="47.25">
      <c r="B2545" s="646" t="s">
        <v>402</v>
      </c>
      <c r="C2545" s="18" t="s">
        <v>403</v>
      </c>
      <c r="D2545" s="18" t="s">
        <v>404</v>
      </c>
      <c r="E2545" s="18" t="s">
        <v>405</v>
      </c>
      <c r="F2545" s="18" t="s">
        <v>406</v>
      </c>
      <c r="G2545" s="18" t="s">
        <v>407</v>
      </c>
      <c r="H2545" s="5" t="s">
        <v>408</v>
      </c>
      <c r="I2545" s="18" t="s">
        <v>409</v>
      </c>
      <c r="J2545" s="5" t="s">
        <v>410</v>
      </c>
      <c r="K2545" s="5" t="s">
        <v>411</v>
      </c>
      <c r="L2545" s="647" t="s">
        <v>412</v>
      </c>
    </row>
    <row r="2546" spans="2:12" ht="15">
      <c r="B2546" s="648" t="s">
        <v>571</v>
      </c>
      <c r="C2546" s="169">
        <v>743</v>
      </c>
      <c r="D2546" s="19"/>
      <c r="E2546" s="19"/>
      <c r="F2546" s="179"/>
      <c r="G2546" s="20"/>
      <c r="H2546" s="68"/>
      <c r="I2546" s="17"/>
      <c r="J2546" s="28"/>
      <c r="K2546" s="17"/>
      <c r="L2546" s="649">
        <f>PRODUCT(C2546:K2546)</f>
        <v>743</v>
      </c>
    </row>
    <row r="2547" spans="2:12" ht="15">
      <c r="B2547" s="648"/>
      <c r="C2547" s="20"/>
      <c r="D2547" s="19"/>
      <c r="E2547" s="19"/>
      <c r="F2547" s="19"/>
      <c r="G2547" s="20"/>
      <c r="H2547" s="68"/>
      <c r="I2547" s="17"/>
      <c r="J2547" s="28"/>
      <c r="K2547" s="17"/>
      <c r="L2547" s="649">
        <f t="shared" ref="L2547:L2548" si="188">PRODUCT(C2547:K2547)</f>
        <v>0</v>
      </c>
    </row>
    <row r="2548" spans="2:12" ht="15">
      <c r="B2548" s="648"/>
      <c r="C2548" s="20"/>
      <c r="D2548" s="19"/>
      <c r="E2548" s="19"/>
      <c r="F2548" s="19"/>
      <c r="G2548" s="20"/>
      <c r="H2548" s="68"/>
      <c r="I2548" s="17"/>
      <c r="J2548" s="28"/>
      <c r="K2548" s="17"/>
      <c r="L2548" s="649">
        <f t="shared" si="188"/>
        <v>0</v>
      </c>
    </row>
    <row r="2549" spans="2:12" ht="15">
      <c r="B2549" s="648"/>
      <c r="C2549" s="19"/>
      <c r="D2549" s="19"/>
      <c r="E2549" s="19"/>
      <c r="F2549" s="19"/>
      <c r="G2549" s="20"/>
      <c r="H2549" s="68"/>
      <c r="I2549" s="17"/>
      <c r="J2549" s="28"/>
      <c r="K2549" s="17"/>
      <c r="L2549" s="649"/>
    </row>
    <row r="2550" spans="2:12" ht="15.75">
      <c r="B2550" s="1002"/>
      <c r="C2550" s="1003"/>
      <c r="D2550" s="1003"/>
      <c r="E2550" s="1003"/>
      <c r="F2550" s="1003"/>
      <c r="G2550" s="1003"/>
      <c r="H2550" s="1003"/>
      <c r="I2550" s="1003"/>
      <c r="J2550" s="1003"/>
      <c r="K2550" s="1003"/>
      <c r="L2550" s="1004"/>
    </row>
    <row r="2551" spans="2:12">
      <c r="B2551" s="651"/>
      <c r="L2551" s="652"/>
    </row>
    <row r="2552" spans="2:12">
      <c r="B2552" s="651"/>
      <c r="L2552" s="652"/>
    </row>
    <row r="2553" spans="2:12" ht="15.75">
      <c r="B2553" s="638" t="s">
        <v>398</v>
      </c>
      <c r="C2553" s="8">
        <v>15</v>
      </c>
      <c r="D2553" s="9" t="s">
        <v>1036</v>
      </c>
      <c r="E2553" s="9"/>
      <c r="F2553" s="9"/>
      <c r="G2553" s="9"/>
      <c r="H2553" s="9"/>
      <c r="I2553" s="9"/>
      <c r="J2553" s="9"/>
      <c r="K2553" s="10"/>
      <c r="L2553" s="639"/>
    </row>
    <row r="2554" spans="2:12" ht="15">
      <c r="B2554" s="1005"/>
      <c r="C2554" s="1006"/>
      <c r="D2554" s="1006"/>
      <c r="E2554" s="1006"/>
      <c r="F2554" s="1006"/>
      <c r="G2554" s="1006"/>
      <c r="H2554" s="1006"/>
      <c r="I2554" s="1006"/>
      <c r="J2554" s="1006"/>
      <c r="K2554" s="1006"/>
      <c r="L2554" s="1007"/>
    </row>
    <row r="2555" spans="2:12" ht="30.75" customHeight="1">
      <c r="B2555" s="642" t="s">
        <v>399</v>
      </c>
      <c r="C2555" s="8">
        <f>+'PROPUESTA ECONOMICA(Proponente)'!C294</f>
        <v>15.1</v>
      </c>
      <c r="D2555" s="12" t="str">
        <f>'PROPUESTA ECONOMICA(Proponente)'!G294</f>
        <v>Zonas Verdes (Incluye suministro de grama natural y tierra negra).</v>
      </c>
      <c r="E2555" s="13"/>
      <c r="F2555" s="12"/>
      <c r="G2555" s="12"/>
      <c r="H2555" s="12"/>
      <c r="I2555" s="11" t="s">
        <v>400</v>
      </c>
      <c r="J2555" s="12" t="str">
        <f>+VLOOKUP('MEMORIAS DE CANTIDADES'!C2555,'PROPUESTA ECONOMICA(Proponente)'!$C$21:$H$310,6,FALSE)</f>
        <v>m3</v>
      </c>
      <c r="K2555" s="11" t="s">
        <v>401</v>
      </c>
      <c r="L2555" s="643">
        <f>SUM(L2556:L2562)</f>
        <v>4609.5</v>
      </c>
    </row>
    <row r="2556" spans="2:12" ht="15">
      <c r="B2556" s="644"/>
      <c r="C2556" s="16"/>
      <c r="D2556" s="15"/>
      <c r="E2556" s="15"/>
      <c r="F2556" s="15"/>
      <c r="G2556" s="15"/>
      <c r="H2556" s="15"/>
      <c r="I2556" s="15"/>
      <c r="J2556" s="15"/>
      <c r="K2556" s="17"/>
      <c r="L2556" s="645"/>
    </row>
    <row r="2557" spans="2:12" ht="47.25">
      <c r="B2557" s="646" t="s">
        <v>402</v>
      </c>
      <c r="C2557" s="18" t="s">
        <v>403</v>
      </c>
      <c r="D2557" s="18" t="s">
        <v>404</v>
      </c>
      <c r="E2557" s="18" t="s">
        <v>405</v>
      </c>
      <c r="F2557" s="18" t="s">
        <v>406</v>
      </c>
      <c r="G2557" s="18" t="s">
        <v>407</v>
      </c>
      <c r="H2557" s="5" t="s">
        <v>408</v>
      </c>
      <c r="I2557" s="18" t="s">
        <v>409</v>
      </c>
      <c r="J2557" s="5" t="s">
        <v>410</v>
      </c>
      <c r="K2557" s="5" t="s">
        <v>411</v>
      </c>
      <c r="L2557" s="647" t="s">
        <v>412</v>
      </c>
    </row>
    <row r="2558" spans="2:12" ht="47.25">
      <c r="B2558" s="772" t="s">
        <v>1016</v>
      </c>
      <c r="C2558" s="73">
        <f>14983-10373.5</f>
        <v>4609.5</v>
      </c>
      <c r="D2558" s="19"/>
      <c r="E2558" s="19"/>
      <c r="F2558" s="19"/>
      <c r="G2558" s="20"/>
      <c r="H2558" s="68"/>
      <c r="I2558" s="17"/>
      <c r="J2558" s="28"/>
      <c r="K2558" s="17"/>
      <c r="L2558" s="649">
        <f>PRODUCT(C2558:K2558)</f>
        <v>4609.5</v>
      </c>
    </row>
    <row r="2559" spans="2:12" ht="15.75">
      <c r="B2559" s="772"/>
      <c r="C2559" s="19"/>
      <c r="D2559" s="19"/>
      <c r="E2559" s="19"/>
      <c r="F2559" s="19"/>
      <c r="G2559" s="20"/>
      <c r="H2559" s="68"/>
      <c r="I2559" s="17"/>
      <c r="J2559" s="28"/>
      <c r="K2559" s="17"/>
      <c r="L2559" s="649"/>
    </row>
    <row r="2560" spans="2:12" ht="15.75">
      <c r="B2560" s="772"/>
      <c r="C2560" s="19"/>
      <c r="D2560" s="19"/>
      <c r="E2560" s="19"/>
      <c r="F2560" s="19"/>
      <c r="G2560" s="20"/>
      <c r="H2560" s="68"/>
      <c r="I2560" s="17"/>
      <c r="J2560" s="28"/>
      <c r="K2560" s="17"/>
      <c r="L2560" s="649"/>
    </row>
    <row r="2561" spans="2:12" ht="15.75">
      <c r="B2561" s="772"/>
      <c r="C2561" s="19"/>
      <c r="D2561" s="19"/>
      <c r="E2561" s="19"/>
      <c r="F2561" s="19"/>
      <c r="G2561" s="20"/>
      <c r="H2561" s="68"/>
      <c r="I2561" s="17"/>
      <c r="J2561" s="28"/>
      <c r="K2561" s="17"/>
      <c r="L2561" s="649"/>
    </row>
    <row r="2562" spans="2:12" ht="15.75">
      <c r="B2562" s="1002"/>
      <c r="C2562" s="1003"/>
      <c r="D2562" s="1003"/>
      <c r="E2562" s="1003"/>
      <c r="F2562" s="1003"/>
      <c r="G2562" s="1003"/>
      <c r="H2562" s="1003"/>
      <c r="I2562" s="1003"/>
      <c r="J2562" s="1003"/>
      <c r="K2562" s="1003"/>
      <c r="L2562" s="1004"/>
    </row>
    <row r="2563" spans="2:12">
      <c r="B2563" s="651"/>
      <c r="L2563" s="652"/>
    </row>
    <row r="2564" spans="2:12" ht="15.75">
      <c r="B2564" s="638" t="s">
        <v>398</v>
      </c>
      <c r="C2564" s="8">
        <v>15</v>
      </c>
      <c r="D2564" s="9" t="s">
        <v>1036</v>
      </c>
      <c r="E2564" s="9"/>
      <c r="F2564" s="9"/>
      <c r="G2564" s="9"/>
      <c r="H2564" s="9"/>
      <c r="I2564" s="9"/>
      <c r="J2564" s="9"/>
      <c r="K2564" s="10"/>
      <c r="L2564" s="639"/>
    </row>
    <row r="2565" spans="2:12" ht="15">
      <c r="B2565" s="1005"/>
      <c r="C2565" s="1006"/>
      <c r="D2565" s="1006"/>
      <c r="E2565" s="1006"/>
      <c r="F2565" s="1006"/>
      <c r="G2565" s="1006"/>
      <c r="H2565" s="1006"/>
      <c r="I2565" s="1006"/>
      <c r="J2565" s="1006"/>
      <c r="K2565" s="1006"/>
      <c r="L2565" s="1007"/>
    </row>
    <row r="2566" spans="2:12" ht="31.5">
      <c r="B2566" s="642" t="s">
        <v>399</v>
      </c>
      <c r="C2566" s="8">
        <f>+'PROPUESTA ECONOMICA(Proponente)'!C295</f>
        <v>15.11</v>
      </c>
      <c r="D2566" s="12" t="str">
        <f>+VLOOKUP('MEMORIAS DE CANTIDADES'!C2566,'PROPUESTA ECONOMICA(Proponente)'!$C$21:$H$310,5,FALSE)</f>
        <v>Siembra de durantas o similar, (incluye tierra negra y cascarilla siembre).</v>
      </c>
      <c r="E2566" s="13"/>
      <c r="F2566" s="12"/>
      <c r="G2566" s="12"/>
      <c r="H2566" s="12"/>
      <c r="I2566" s="11" t="s">
        <v>400</v>
      </c>
      <c r="J2566" s="12" t="str">
        <f>+VLOOKUP('MEMORIAS DE CANTIDADES'!C2566,'PROPUESTA ECONOMICA(Proponente)'!$C$21:$H$310,6,FALSE)</f>
        <v>un</v>
      </c>
      <c r="K2566" s="11" t="s">
        <v>401</v>
      </c>
      <c r="L2566" s="643">
        <f>SUM(L2567:L2573)</f>
        <v>7450</v>
      </c>
    </row>
    <row r="2567" spans="2:12" ht="15">
      <c r="B2567" s="644"/>
      <c r="C2567" s="16"/>
      <c r="D2567" s="15"/>
      <c r="E2567" s="15"/>
      <c r="F2567" s="15"/>
      <c r="G2567" s="15"/>
      <c r="H2567" s="15"/>
      <c r="I2567" s="15"/>
      <c r="J2567" s="15"/>
      <c r="K2567" s="17"/>
      <c r="L2567" s="645"/>
    </row>
    <row r="2568" spans="2:12" ht="47.25">
      <c r="B2568" s="646" t="s">
        <v>402</v>
      </c>
      <c r="C2568" s="18" t="s">
        <v>403</v>
      </c>
      <c r="D2568" s="18" t="s">
        <v>404</v>
      </c>
      <c r="E2568" s="18" t="s">
        <v>405</v>
      </c>
      <c r="F2568" s="18" t="s">
        <v>406</v>
      </c>
      <c r="G2568" s="18" t="s">
        <v>407</v>
      </c>
      <c r="H2568" s="5" t="s">
        <v>408</v>
      </c>
      <c r="I2568" s="18" t="s">
        <v>409</v>
      </c>
      <c r="J2568" s="5" t="s">
        <v>410</v>
      </c>
      <c r="K2568" s="5" t="s">
        <v>411</v>
      </c>
      <c r="L2568" s="647" t="s">
        <v>412</v>
      </c>
    </row>
    <row r="2569" spans="2:12" ht="15.75">
      <c r="B2569" s="772"/>
      <c r="C2569" s="19"/>
      <c r="D2569" s="19"/>
      <c r="E2569" s="19"/>
      <c r="F2569" s="19"/>
      <c r="G2569" s="20"/>
      <c r="H2569" s="68"/>
      <c r="I2569" s="182">
        <f>12450-5000</f>
        <v>7450</v>
      </c>
      <c r="J2569" s="28"/>
      <c r="K2569" s="17"/>
      <c r="L2569" s="649">
        <f>PRODUCT(C2569:K2569)</f>
        <v>7450</v>
      </c>
    </row>
    <row r="2570" spans="2:12" ht="15.75">
      <c r="B2570" s="772"/>
      <c r="C2570" s="19"/>
      <c r="D2570" s="19"/>
      <c r="E2570" s="19"/>
      <c r="F2570" s="19"/>
      <c r="G2570" s="20"/>
      <c r="H2570" s="68"/>
      <c r="I2570" s="17"/>
      <c r="J2570" s="28"/>
      <c r="K2570" s="17"/>
      <c r="L2570" s="649"/>
    </row>
    <row r="2571" spans="2:12" ht="15.75">
      <c r="B2571" s="772"/>
      <c r="C2571" s="19"/>
      <c r="D2571" s="19"/>
      <c r="E2571" s="19"/>
      <c r="F2571" s="19"/>
      <c r="G2571" s="20"/>
      <c r="H2571" s="68"/>
      <c r="I2571" s="17"/>
      <c r="J2571" s="28"/>
      <c r="K2571" s="17"/>
      <c r="L2571" s="649"/>
    </row>
    <row r="2572" spans="2:12" ht="15.75">
      <c r="B2572" s="772"/>
      <c r="C2572" s="19"/>
      <c r="D2572" s="19"/>
      <c r="E2572" s="19"/>
      <c r="F2572" s="19"/>
      <c r="G2572" s="20"/>
      <c r="H2572" s="68"/>
      <c r="I2572" s="17"/>
      <c r="J2572" s="28"/>
      <c r="K2572" s="17"/>
      <c r="L2572" s="649"/>
    </row>
    <row r="2573" spans="2:12" ht="15.75">
      <c r="B2573" s="1002"/>
      <c r="C2573" s="1003"/>
      <c r="D2573" s="1003"/>
      <c r="E2573" s="1003"/>
      <c r="F2573" s="1003"/>
      <c r="G2573" s="1003"/>
      <c r="H2573" s="1003"/>
      <c r="I2573" s="1003"/>
      <c r="J2573" s="1003"/>
      <c r="K2573" s="1003"/>
      <c r="L2573" s="1004"/>
    </row>
    <row r="2574" spans="2:12">
      <c r="B2574" s="651"/>
      <c r="L2574" s="652"/>
    </row>
    <row r="2575" spans="2:12" ht="15.75">
      <c r="B2575" s="638" t="s">
        <v>398</v>
      </c>
      <c r="C2575" s="8">
        <v>15</v>
      </c>
      <c r="D2575" s="9" t="s">
        <v>1036</v>
      </c>
      <c r="E2575" s="9"/>
      <c r="F2575" s="9"/>
      <c r="G2575" s="9"/>
      <c r="H2575" s="9"/>
      <c r="I2575" s="9"/>
      <c r="J2575" s="9"/>
      <c r="K2575" s="10"/>
      <c r="L2575" s="639"/>
    </row>
    <row r="2576" spans="2:12" ht="15">
      <c r="B2576" s="1005"/>
      <c r="C2576" s="1006"/>
      <c r="D2576" s="1006"/>
      <c r="E2576" s="1006"/>
      <c r="F2576" s="1006"/>
      <c r="G2576" s="1006"/>
      <c r="H2576" s="1006"/>
      <c r="I2576" s="1006"/>
      <c r="J2576" s="1006"/>
      <c r="K2576" s="1006"/>
      <c r="L2576" s="1007"/>
    </row>
    <row r="2577" spans="2:12" ht="47.25">
      <c r="B2577" s="642" t="s">
        <v>399</v>
      </c>
      <c r="C2577" s="8">
        <f>+'PROPUESTA ECONOMICA(Proponente)'!C296</f>
        <v>15.12</v>
      </c>
      <c r="D2577" s="12" t="str">
        <f>+VLOOKUP('MEMORIAS DE CANTIDADES'!C2577,'PROPUESTA ECONOMICA(Proponente)'!$C$21:$H$310,5,FALSE)</f>
        <v>Suministro y siembra de arboles  3m de altura Pomarrosa o similar (incluye suministro de tierra negra)</v>
      </c>
      <c r="E2577" s="13"/>
      <c r="F2577" s="12"/>
      <c r="G2577" s="12"/>
      <c r="H2577" s="12"/>
      <c r="I2577" s="11" t="s">
        <v>400</v>
      </c>
      <c r="J2577" s="12" t="str">
        <f>+VLOOKUP('MEMORIAS DE CANTIDADES'!C2577,'PROPUESTA ECONOMICA(Proponente)'!$C$21:$H$310,6,FALSE)</f>
        <v>un</v>
      </c>
      <c r="K2577" s="11" t="s">
        <v>401</v>
      </c>
      <c r="L2577" s="643">
        <f>SUM(L2578:L2584)</f>
        <v>80</v>
      </c>
    </row>
    <row r="2578" spans="2:12" ht="15">
      <c r="B2578" s="644"/>
      <c r="C2578" s="16"/>
      <c r="D2578" s="15"/>
      <c r="E2578" s="15"/>
      <c r="F2578" s="15"/>
      <c r="G2578" s="15"/>
      <c r="H2578" s="15"/>
      <c r="I2578" s="15"/>
      <c r="J2578" s="15"/>
      <c r="K2578" s="17"/>
      <c r="L2578" s="645"/>
    </row>
    <row r="2579" spans="2:12" ht="47.25">
      <c r="B2579" s="646" t="s">
        <v>402</v>
      </c>
      <c r="C2579" s="18" t="s">
        <v>403</v>
      </c>
      <c r="D2579" s="18" t="s">
        <v>404</v>
      </c>
      <c r="E2579" s="18" t="s">
        <v>405</v>
      </c>
      <c r="F2579" s="18" t="s">
        <v>406</v>
      </c>
      <c r="G2579" s="18" t="s">
        <v>407</v>
      </c>
      <c r="H2579" s="5" t="s">
        <v>408</v>
      </c>
      <c r="I2579" s="18" t="s">
        <v>409</v>
      </c>
      <c r="J2579" s="5" t="s">
        <v>410</v>
      </c>
      <c r="K2579" s="5" t="s">
        <v>411</v>
      </c>
      <c r="L2579" s="647" t="s">
        <v>412</v>
      </c>
    </row>
    <row r="2580" spans="2:12" ht="15.75">
      <c r="B2580" s="772"/>
      <c r="C2580" s="19"/>
      <c r="D2580" s="19"/>
      <c r="E2580" s="19"/>
      <c r="F2580" s="19"/>
      <c r="G2580" s="20"/>
      <c r="H2580" s="68"/>
      <c r="I2580" s="28">
        <v>80</v>
      </c>
      <c r="J2580" s="28"/>
      <c r="K2580" s="17"/>
      <c r="L2580" s="649">
        <f>PRODUCT(C2580:K2580)</f>
        <v>80</v>
      </c>
    </row>
    <row r="2581" spans="2:12" ht="15.75">
      <c r="B2581" s="772"/>
      <c r="C2581" s="19"/>
      <c r="D2581" s="19"/>
      <c r="E2581" s="19"/>
      <c r="F2581" s="19"/>
      <c r="G2581" s="20"/>
      <c r="H2581" s="68"/>
      <c r="I2581" s="17"/>
      <c r="J2581" s="28"/>
      <c r="K2581" s="17"/>
      <c r="L2581" s="649"/>
    </row>
    <row r="2582" spans="2:12" ht="15.75">
      <c r="B2582" s="772"/>
      <c r="C2582" s="19"/>
      <c r="D2582" s="19"/>
      <c r="E2582" s="19"/>
      <c r="F2582" s="19"/>
      <c r="G2582" s="20"/>
      <c r="H2582" s="68"/>
      <c r="I2582" s="17"/>
      <c r="J2582" s="28"/>
      <c r="K2582" s="17"/>
      <c r="L2582" s="649"/>
    </row>
    <row r="2583" spans="2:12" ht="15.75">
      <c r="B2583" s="772"/>
      <c r="C2583" s="19"/>
      <c r="D2583" s="19"/>
      <c r="E2583" s="19"/>
      <c r="F2583" s="19"/>
      <c r="G2583" s="20"/>
      <c r="H2583" s="68"/>
      <c r="I2583" s="17"/>
      <c r="J2583" s="28"/>
      <c r="K2583" s="17"/>
      <c r="L2583" s="649"/>
    </row>
    <row r="2584" spans="2:12" ht="15.75">
      <c r="B2584" s="1002"/>
      <c r="C2584" s="1003"/>
      <c r="D2584" s="1003"/>
      <c r="E2584" s="1003"/>
      <c r="F2584" s="1003"/>
      <c r="G2584" s="1003"/>
      <c r="H2584" s="1003"/>
      <c r="I2584" s="1003"/>
      <c r="J2584" s="1003"/>
      <c r="K2584" s="1003"/>
      <c r="L2584" s="1004"/>
    </row>
    <row r="2585" spans="2:12">
      <c r="B2585" s="651"/>
      <c r="L2585" s="652"/>
    </row>
    <row r="2586" spans="2:12" ht="15.75">
      <c r="B2586" s="638" t="s">
        <v>398</v>
      </c>
      <c r="C2586" s="8">
        <v>15</v>
      </c>
      <c r="D2586" s="9" t="s">
        <v>1036</v>
      </c>
      <c r="E2586" s="9"/>
      <c r="F2586" s="9"/>
      <c r="G2586" s="9"/>
      <c r="H2586" s="9"/>
      <c r="I2586" s="9"/>
      <c r="J2586" s="9"/>
      <c r="K2586" s="10"/>
      <c r="L2586" s="639"/>
    </row>
    <row r="2587" spans="2:12" ht="15">
      <c r="B2587" s="1005"/>
      <c r="C2587" s="1006"/>
      <c r="D2587" s="1006"/>
      <c r="E2587" s="1006"/>
      <c r="F2587" s="1006"/>
      <c r="G2587" s="1006"/>
      <c r="H2587" s="1006"/>
      <c r="I2587" s="1006"/>
      <c r="J2587" s="1006"/>
      <c r="K2587" s="1006"/>
      <c r="L2587" s="1007"/>
    </row>
    <row r="2588" spans="2:12" ht="31.5">
      <c r="B2588" s="642" t="s">
        <v>399</v>
      </c>
      <c r="C2588" s="8">
        <f>+'PROPUESTA ECONOMICA(Proponente)'!C297</f>
        <v>15.13</v>
      </c>
      <c r="D2588" s="12" t="str">
        <f>+VLOOKUP('MEMORIAS DE CANTIDADES'!C2588,'PROPUESTA ECONOMICA(Proponente)'!$C$21:$H$310,5,FALSE)</f>
        <v xml:space="preserve">Suministro e instalación de Tope llantas para parqueadero. </v>
      </c>
      <c r="E2588" s="13"/>
      <c r="F2588" s="12"/>
      <c r="G2588" s="12"/>
      <c r="H2588" s="12"/>
      <c r="I2588" s="11" t="s">
        <v>400</v>
      </c>
      <c r="J2588" s="12" t="str">
        <f>+VLOOKUP('MEMORIAS DE CANTIDADES'!C2588,'PROPUESTA ECONOMICA(Proponente)'!$C$21:$H$310,6,FALSE)</f>
        <v>UN</v>
      </c>
      <c r="K2588" s="11" t="s">
        <v>401</v>
      </c>
      <c r="L2588" s="643">
        <f>SUM(L2589:L2595)</f>
        <v>70</v>
      </c>
    </row>
    <row r="2589" spans="2:12" ht="15">
      <c r="B2589" s="644"/>
      <c r="C2589" s="16"/>
      <c r="D2589" s="15"/>
      <c r="E2589" s="15"/>
      <c r="F2589" s="15"/>
      <c r="G2589" s="15"/>
      <c r="H2589" s="15"/>
      <c r="I2589" s="15"/>
      <c r="J2589" s="15"/>
      <c r="K2589" s="17"/>
      <c r="L2589" s="645"/>
    </row>
    <row r="2590" spans="2:12" ht="47.25">
      <c r="B2590" s="646" t="s">
        <v>402</v>
      </c>
      <c r="C2590" s="18" t="s">
        <v>403</v>
      </c>
      <c r="D2590" s="18" t="s">
        <v>404</v>
      </c>
      <c r="E2590" s="18" t="s">
        <v>405</v>
      </c>
      <c r="F2590" s="18" t="s">
        <v>406</v>
      </c>
      <c r="G2590" s="18" t="s">
        <v>407</v>
      </c>
      <c r="H2590" s="5" t="s">
        <v>408</v>
      </c>
      <c r="I2590" s="18" t="s">
        <v>409</v>
      </c>
      <c r="J2590" s="5" t="s">
        <v>410</v>
      </c>
      <c r="K2590" s="5" t="s">
        <v>411</v>
      </c>
      <c r="L2590" s="647" t="s">
        <v>412</v>
      </c>
    </row>
    <row r="2591" spans="2:12" ht="15">
      <c r="B2591" s="773" t="s">
        <v>575</v>
      </c>
      <c r="C2591" s="19"/>
      <c r="D2591" s="19"/>
      <c r="E2591" s="19"/>
      <c r="F2591" s="19"/>
      <c r="G2591" s="20"/>
      <c r="H2591" s="68"/>
      <c r="I2591" s="17">
        <v>70</v>
      </c>
      <c r="J2591" s="28"/>
      <c r="K2591" s="17"/>
      <c r="L2591" s="649">
        <f>PRODUCT(C2591:K2591)</f>
        <v>70</v>
      </c>
    </row>
    <row r="2592" spans="2:12" ht="15">
      <c r="B2592" s="773"/>
      <c r="C2592" s="19"/>
      <c r="D2592" s="19"/>
      <c r="E2592" s="19"/>
      <c r="F2592" s="19"/>
      <c r="G2592" s="20"/>
      <c r="H2592" s="68"/>
      <c r="I2592" s="17"/>
      <c r="J2592" s="28"/>
      <c r="K2592" s="17"/>
      <c r="L2592" s="649"/>
    </row>
    <row r="2593" spans="2:12" ht="15">
      <c r="B2593" s="773"/>
      <c r="C2593" s="19"/>
      <c r="D2593" s="19"/>
      <c r="E2593" s="19"/>
      <c r="F2593" s="19"/>
      <c r="G2593" s="20"/>
      <c r="H2593" s="68"/>
      <c r="I2593" s="17"/>
      <c r="J2593" s="28"/>
      <c r="K2593" s="17"/>
      <c r="L2593" s="649"/>
    </row>
    <row r="2594" spans="2:12" ht="15.75">
      <c r="B2594" s="772"/>
      <c r="C2594" s="19"/>
      <c r="D2594" s="19"/>
      <c r="E2594" s="19"/>
      <c r="F2594" s="19"/>
      <c r="G2594" s="20"/>
      <c r="H2594" s="68"/>
      <c r="I2594" s="17"/>
      <c r="J2594" s="28"/>
      <c r="K2594" s="17"/>
      <c r="L2594" s="649"/>
    </row>
    <row r="2595" spans="2:12" ht="15.75">
      <c r="B2595" s="1002"/>
      <c r="C2595" s="1003"/>
      <c r="D2595" s="1003"/>
      <c r="E2595" s="1003"/>
      <c r="F2595" s="1003"/>
      <c r="G2595" s="1003"/>
      <c r="H2595" s="1003"/>
      <c r="I2595" s="1003"/>
      <c r="J2595" s="1003"/>
      <c r="K2595" s="1003"/>
      <c r="L2595" s="1004"/>
    </row>
    <row r="2596" spans="2:12">
      <c r="B2596" s="651"/>
      <c r="L2596" s="652"/>
    </row>
    <row r="2597" spans="2:12" ht="15.75">
      <c r="B2597" s="638" t="s">
        <v>398</v>
      </c>
      <c r="C2597" s="8">
        <v>15</v>
      </c>
      <c r="D2597" s="9" t="s">
        <v>1036</v>
      </c>
      <c r="E2597" s="9"/>
      <c r="F2597" s="9"/>
      <c r="G2597" s="9"/>
      <c r="H2597" s="9"/>
      <c r="I2597" s="9"/>
      <c r="J2597" s="9"/>
      <c r="K2597" s="10"/>
      <c r="L2597" s="639"/>
    </row>
    <row r="2598" spans="2:12" ht="15">
      <c r="B2598" s="1005"/>
      <c r="C2598" s="1006"/>
      <c r="D2598" s="1006"/>
      <c r="E2598" s="1006"/>
      <c r="F2598" s="1006"/>
      <c r="G2598" s="1006"/>
      <c r="H2598" s="1006"/>
      <c r="I2598" s="1006"/>
      <c r="J2598" s="1006"/>
      <c r="K2598" s="1006"/>
      <c r="L2598" s="1007"/>
    </row>
    <row r="2599" spans="2:12" ht="31.5">
      <c r="B2599" s="642" t="s">
        <v>399</v>
      </c>
      <c r="C2599" s="8">
        <f>+'PROPUESTA ECONOMICA(Proponente)'!C298</f>
        <v>15.14</v>
      </c>
      <c r="D2599" s="12" t="str">
        <f>+VLOOKUP('MEMORIAS DE CANTIDADES'!C2599,'PROPUESTA ECONOMICA(Proponente)'!$C$21:$H$310,5,FALSE)</f>
        <v>Demarcación con pintura tipo trafico E= 12 cm (Incluye suministro y aplicación).</v>
      </c>
      <c r="E2599" s="13"/>
      <c r="F2599" s="12"/>
      <c r="G2599" s="12"/>
      <c r="H2599" s="12"/>
      <c r="I2599" s="11" t="s">
        <v>400</v>
      </c>
      <c r="J2599" s="12" t="str">
        <f>+VLOOKUP('MEMORIAS DE CANTIDADES'!C2599,'PROPUESTA ECONOMICA(Proponente)'!$C$21:$H$310,6,FALSE)</f>
        <v>ml</v>
      </c>
      <c r="K2599" s="11" t="s">
        <v>401</v>
      </c>
      <c r="L2599" s="643">
        <f>SUM(L2600:L2606)</f>
        <v>335.79999999999995</v>
      </c>
    </row>
    <row r="2600" spans="2:12" ht="15">
      <c r="B2600" s="644"/>
      <c r="C2600" s="16"/>
      <c r="D2600" s="15"/>
      <c r="E2600" s="15"/>
      <c r="F2600" s="15"/>
      <c r="G2600" s="15"/>
      <c r="H2600" s="15"/>
      <c r="I2600" s="15"/>
      <c r="J2600" s="15"/>
      <c r="K2600" s="17"/>
      <c r="L2600" s="645"/>
    </row>
    <row r="2601" spans="2:12" ht="47.25">
      <c r="B2601" s="646" t="s">
        <v>402</v>
      </c>
      <c r="C2601" s="18" t="s">
        <v>403</v>
      </c>
      <c r="D2601" s="18" t="s">
        <v>404</v>
      </c>
      <c r="E2601" s="18" t="s">
        <v>405</v>
      </c>
      <c r="F2601" s="18" t="s">
        <v>406</v>
      </c>
      <c r="G2601" s="18" t="s">
        <v>407</v>
      </c>
      <c r="H2601" s="5" t="s">
        <v>408</v>
      </c>
      <c r="I2601" s="18" t="s">
        <v>409</v>
      </c>
      <c r="J2601" s="5" t="s">
        <v>410</v>
      </c>
      <c r="K2601" s="5" t="s">
        <v>411</v>
      </c>
      <c r="L2601" s="647" t="s">
        <v>412</v>
      </c>
    </row>
    <row r="2602" spans="2:12" ht="15">
      <c r="B2602" s="773" t="s">
        <v>575</v>
      </c>
      <c r="C2602" s="269"/>
      <c r="D2602" s="269"/>
      <c r="E2602" s="269"/>
      <c r="F2602" s="269">
        <v>5</v>
      </c>
      <c r="G2602" s="270"/>
      <c r="H2602" s="346"/>
      <c r="I2602" s="17">
        <v>33</v>
      </c>
      <c r="J2602" s="28"/>
      <c r="K2602" s="17"/>
      <c r="L2602" s="656">
        <f>PRODUCT(C2602:K2602)</f>
        <v>165</v>
      </c>
    </row>
    <row r="2603" spans="2:12" ht="15">
      <c r="B2603" s="773" t="s">
        <v>576</v>
      </c>
      <c r="C2603" s="269"/>
      <c r="D2603" s="269"/>
      <c r="E2603" s="269"/>
      <c r="F2603" s="269">
        <v>2.4</v>
      </c>
      <c r="G2603" s="270"/>
      <c r="H2603" s="346"/>
      <c r="I2603" s="17">
        <f>99-32</f>
        <v>67</v>
      </c>
      <c r="J2603" s="28"/>
      <c r="K2603" s="17"/>
      <c r="L2603" s="656">
        <f>PRODUCT(C2603:K2603)</f>
        <v>160.79999999999998</v>
      </c>
    </row>
    <row r="2604" spans="2:12" ht="15">
      <c r="B2604" s="773" t="s">
        <v>528</v>
      </c>
      <c r="C2604" s="269"/>
      <c r="D2604" s="269"/>
      <c r="E2604" s="269"/>
      <c r="F2604" s="269">
        <v>10</v>
      </c>
      <c r="G2604" s="270"/>
      <c r="H2604" s="346"/>
      <c r="I2604" s="17">
        <v>1</v>
      </c>
      <c r="J2604" s="28"/>
      <c r="K2604" s="17"/>
      <c r="L2604" s="656">
        <f>PRODUCT(C2604:K2604)</f>
        <v>10</v>
      </c>
    </row>
    <row r="2605" spans="2:12" ht="15.75">
      <c r="B2605" s="772"/>
      <c r="C2605" s="19"/>
      <c r="D2605" s="19"/>
      <c r="E2605" s="19"/>
      <c r="F2605" s="19"/>
      <c r="G2605" s="20"/>
      <c r="H2605" s="68"/>
      <c r="I2605" s="17"/>
      <c r="J2605" s="28"/>
      <c r="K2605" s="17"/>
      <c r="L2605" s="649"/>
    </row>
    <row r="2606" spans="2:12" ht="15.75">
      <c r="B2606" s="1002"/>
      <c r="C2606" s="1003"/>
      <c r="D2606" s="1003"/>
      <c r="E2606" s="1003"/>
      <c r="F2606" s="1003"/>
      <c r="G2606" s="1003"/>
      <c r="H2606" s="1003"/>
      <c r="I2606" s="1003"/>
      <c r="J2606" s="1003"/>
      <c r="K2606" s="1003"/>
      <c r="L2606" s="1004"/>
    </row>
    <row r="2607" spans="2:12">
      <c r="B2607" s="651"/>
      <c r="L2607" s="652"/>
    </row>
    <row r="2608" spans="2:12" ht="15.75">
      <c r="B2608" s="638" t="s">
        <v>398</v>
      </c>
      <c r="C2608" s="8">
        <v>15</v>
      </c>
      <c r="D2608" s="9" t="s">
        <v>1036</v>
      </c>
      <c r="E2608" s="9"/>
      <c r="F2608" s="9"/>
      <c r="G2608" s="9"/>
      <c r="H2608" s="9"/>
      <c r="I2608" s="9"/>
      <c r="J2608" s="9"/>
      <c r="K2608" s="10"/>
      <c r="L2608" s="639"/>
    </row>
    <row r="2609" spans="2:12" ht="15">
      <c r="B2609" s="1005"/>
      <c r="C2609" s="1006"/>
      <c r="D2609" s="1006"/>
      <c r="E2609" s="1006"/>
      <c r="F2609" s="1006"/>
      <c r="G2609" s="1006"/>
      <c r="H2609" s="1006"/>
      <c r="I2609" s="1006"/>
      <c r="J2609" s="1006"/>
      <c r="K2609" s="1006"/>
      <c r="L2609" s="1007"/>
    </row>
    <row r="2610" spans="2:12" ht="31.5">
      <c r="B2610" s="642" t="s">
        <v>399</v>
      </c>
      <c r="C2610" s="8">
        <f>+'PROPUESTA ECONOMICA(Proponente)'!C299</f>
        <v>15.15</v>
      </c>
      <c r="D2610" s="12" t="str">
        <f>+VLOOKUP('MEMORIAS DE CANTIDADES'!C2610,'PROPUESTA ECONOMICA(Proponente)'!$C$21:$H$310,5,FALSE)</f>
        <v xml:space="preserve">Demarcación pictogramas con pintura tipo trafico, (Incluye suministro y aplicación). </v>
      </c>
      <c r="E2610" s="13"/>
      <c r="F2610" s="12"/>
      <c r="G2610" s="12"/>
      <c r="H2610" s="12"/>
      <c r="I2610" s="11" t="s">
        <v>400</v>
      </c>
      <c r="J2610" s="12" t="str">
        <f>+VLOOKUP('MEMORIAS DE CANTIDADES'!C2610,'PROPUESTA ECONOMICA(Proponente)'!$C$21:$H$310,6,FALSE)</f>
        <v>m2</v>
      </c>
      <c r="K2610" s="11" t="s">
        <v>401</v>
      </c>
      <c r="L2610" s="643">
        <f>SUM(L2611:L2617)</f>
        <v>46</v>
      </c>
    </row>
    <row r="2611" spans="2:12" ht="15">
      <c r="B2611" s="644"/>
      <c r="C2611" s="16"/>
      <c r="D2611" s="15"/>
      <c r="E2611" s="15"/>
      <c r="F2611" s="15"/>
      <c r="G2611" s="15"/>
      <c r="H2611" s="15"/>
      <c r="I2611" s="15"/>
      <c r="J2611" s="15"/>
      <c r="K2611" s="17"/>
      <c r="L2611" s="645"/>
    </row>
    <row r="2612" spans="2:12" ht="47.25">
      <c r="B2612" s="646" t="s">
        <v>402</v>
      </c>
      <c r="C2612" s="18" t="s">
        <v>403</v>
      </c>
      <c r="D2612" s="18" t="s">
        <v>404</v>
      </c>
      <c r="E2612" s="18" t="s">
        <v>405</v>
      </c>
      <c r="F2612" s="18" t="s">
        <v>406</v>
      </c>
      <c r="G2612" s="18" t="s">
        <v>407</v>
      </c>
      <c r="H2612" s="5" t="s">
        <v>408</v>
      </c>
      <c r="I2612" s="18" t="s">
        <v>409</v>
      </c>
      <c r="J2612" s="5" t="s">
        <v>410</v>
      </c>
      <c r="K2612" s="5" t="s">
        <v>411</v>
      </c>
      <c r="L2612" s="647" t="s">
        <v>412</v>
      </c>
    </row>
    <row r="2613" spans="2:12" ht="15">
      <c r="B2613" s="773" t="s">
        <v>577</v>
      </c>
      <c r="C2613" s="19"/>
      <c r="D2613" s="19">
        <v>2.5</v>
      </c>
      <c r="E2613" s="19"/>
      <c r="F2613" s="19">
        <v>5</v>
      </c>
      <c r="G2613" s="20"/>
      <c r="H2613" s="68"/>
      <c r="I2613" s="17"/>
      <c r="J2613" s="28">
        <v>2</v>
      </c>
      <c r="K2613" s="17"/>
      <c r="L2613" s="649">
        <f>PRODUCT(C2613:K2613)</f>
        <v>25</v>
      </c>
    </row>
    <row r="2614" spans="2:12" ht="15">
      <c r="B2614" s="773" t="s">
        <v>578</v>
      </c>
      <c r="C2614" s="19">
        <v>0.7</v>
      </c>
      <c r="D2614" s="19"/>
      <c r="E2614" s="19"/>
      <c r="F2614" s="19"/>
      <c r="G2614" s="20"/>
      <c r="H2614" s="68"/>
      <c r="I2614" s="17"/>
      <c r="J2614" s="28">
        <v>30</v>
      </c>
      <c r="K2614" s="17"/>
      <c r="L2614" s="649">
        <f>PRODUCT(C2614:K2614)</f>
        <v>21</v>
      </c>
    </row>
    <row r="2615" spans="2:12" ht="15">
      <c r="B2615" s="773"/>
      <c r="C2615" s="19"/>
      <c r="D2615" s="19"/>
      <c r="E2615" s="19"/>
      <c r="F2615" s="19"/>
      <c r="G2615" s="20"/>
      <c r="H2615" s="68"/>
      <c r="I2615" s="17"/>
      <c r="J2615" s="28"/>
      <c r="K2615" s="17"/>
      <c r="L2615" s="649"/>
    </row>
    <row r="2616" spans="2:12" ht="15.75">
      <c r="B2616" s="772"/>
      <c r="C2616" s="19"/>
      <c r="D2616" s="19"/>
      <c r="E2616" s="19"/>
      <c r="F2616" s="19"/>
      <c r="G2616" s="20"/>
      <c r="H2616" s="68"/>
      <c r="I2616" s="17"/>
      <c r="J2616" s="28"/>
      <c r="K2616" s="17"/>
      <c r="L2616" s="649"/>
    </row>
    <row r="2617" spans="2:12" ht="15.75">
      <c r="B2617" s="1002"/>
      <c r="C2617" s="1003"/>
      <c r="D2617" s="1003"/>
      <c r="E2617" s="1003"/>
      <c r="F2617" s="1003"/>
      <c r="G2617" s="1003"/>
      <c r="H2617" s="1003"/>
      <c r="I2617" s="1003"/>
      <c r="J2617" s="1003"/>
      <c r="K2617" s="1003"/>
      <c r="L2617" s="1004"/>
    </row>
    <row r="2618" spans="2:12">
      <c r="B2618" s="651"/>
      <c r="L2618" s="652"/>
    </row>
    <row r="2619" spans="2:12" ht="15.75">
      <c r="B2619" s="638" t="s">
        <v>398</v>
      </c>
      <c r="C2619" s="8">
        <v>15</v>
      </c>
      <c r="D2619" s="9" t="s">
        <v>1036</v>
      </c>
      <c r="E2619" s="9"/>
      <c r="F2619" s="9"/>
      <c r="G2619" s="9"/>
      <c r="H2619" s="9"/>
      <c r="I2619" s="9"/>
      <c r="J2619" s="9"/>
      <c r="K2619" s="10"/>
      <c r="L2619" s="639"/>
    </row>
    <row r="2620" spans="2:12" ht="15">
      <c r="B2620" s="1005"/>
      <c r="C2620" s="1006"/>
      <c r="D2620" s="1006"/>
      <c r="E2620" s="1006"/>
      <c r="F2620" s="1006"/>
      <c r="G2620" s="1006"/>
      <c r="H2620" s="1006"/>
      <c r="I2620" s="1006"/>
      <c r="J2620" s="1006"/>
      <c r="K2620" s="1006"/>
      <c r="L2620" s="1007"/>
    </row>
    <row r="2621" spans="2:12" ht="31.5">
      <c r="B2621" s="642" t="s">
        <v>399</v>
      </c>
      <c r="C2621" s="8">
        <f>+'PROPUESTA ECONOMICA(Proponente)'!C300</f>
        <v>15.16</v>
      </c>
      <c r="D2621" s="12" t="str">
        <f>+VLOOKUP('MEMORIAS DE CANTIDADES'!C2621,'PROPUESTA ECONOMICA(Proponente)'!$C$21:$H$310,5,FALSE)</f>
        <v xml:space="preserve">Banca Dobbelt módulo a marca konkretus, (Incluye suministro e instalación). </v>
      </c>
      <c r="E2621" s="13"/>
      <c r="F2621" s="12"/>
      <c r="G2621" s="12"/>
      <c r="H2621" s="12"/>
      <c r="I2621" s="11" t="s">
        <v>400</v>
      </c>
      <c r="J2621" s="12" t="str">
        <f>+VLOOKUP('MEMORIAS DE CANTIDADES'!C2621,'PROPUESTA ECONOMICA(Proponente)'!$C$21:$H$310,6,FALSE)</f>
        <v>UN</v>
      </c>
      <c r="K2621" s="11" t="s">
        <v>401</v>
      </c>
      <c r="L2621" s="643">
        <f>SUM(L2622:L2627)</f>
        <v>25</v>
      </c>
    </row>
    <row r="2622" spans="2:12" ht="15">
      <c r="B2622" s="644"/>
      <c r="C2622" s="16"/>
      <c r="D2622" s="15"/>
      <c r="E2622" s="15"/>
      <c r="F2622" s="15"/>
      <c r="G2622" s="15"/>
      <c r="H2622" s="15"/>
      <c r="I2622" s="15"/>
      <c r="J2622" s="15"/>
      <c r="K2622" s="17"/>
      <c r="L2622" s="645"/>
    </row>
    <row r="2623" spans="2:12" ht="47.25">
      <c r="B2623" s="646" t="s">
        <v>402</v>
      </c>
      <c r="C2623" s="18" t="s">
        <v>403</v>
      </c>
      <c r="D2623" s="18" t="s">
        <v>404</v>
      </c>
      <c r="E2623" s="18" t="s">
        <v>405</v>
      </c>
      <c r="F2623" s="18" t="s">
        <v>406</v>
      </c>
      <c r="G2623" s="18" t="s">
        <v>407</v>
      </c>
      <c r="H2623" s="5" t="s">
        <v>408</v>
      </c>
      <c r="I2623" s="18" t="s">
        <v>409</v>
      </c>
      <c r="J2623" s="5" t="s">
        <v>410</v>
      </c>
      <c r="K2623" s="5" t="s">
        <v>411</v>
      </c>
      <c r="L2623" s="647" t="s">
        <v>412</v>
      </c>
    </row>
    <row r="2624" spans="2:12" ht="15">
      <c r="B2624" s="773"/>
      <c r="C2624" s="19"/>
      <c r="D2624" s="19"/>
      <c r="E2624" s="19"/>
      <c r="F2624" s="19"/>
      <c r="G2624" s="20"/>
      <c r="H2624" s="68"/>
      <c r="I2624" s="17"/>
      <c r="J2624" s="28">
        <v>17</v>
      </c>
      <c r="K2624" s="17"/>
      <c r="L2624" s="649">
        <f>PRODUCT(C2624:K2624)</f>
        <v>17</v>
      </c>
    </row>
    <row r="2625" spans="2:12" ht="15">
      <c r="B2625" s="773"/>
      <c r="C2625" s="19"/>
      <c r="D2625" s="19"/>
      <c r="E2625" s="19"/>
      <c r="F2625" s="19"/>
      <c r="G2625" s="20"/>
      <c r="H2625" s="68"/>
      <c r="I2625" s="17"/>
      <c r="J2625" s="28">
        <v>8</v>
      </c>
      <c r="K2625" s="17"/>
      <c r="L2625" s="649">
        <f>PRODUCT(C2625:K2625)</f>
        <v>8</v>
      </c>
    </row>
    <row r="2626" spans="2:12" ht="15">
      <c r="B2626" s="773"/>
      <c r="C2626" s="19"/>
      <c r="D2626" s="19"/>
      <c r="E2626" s="19"/>
      <c r="F2626" s="19"/>
      <c r="G2626" s="20"/>
      <c r="H2626" s="68"/>
      <c r="I2626" s="17"/>
      <c r="J2626" s="28"/>
      <c r="K2626" s="17"/>
      <c r="L2626" s="649"/>
    </row>
    <row r="2627" spans="2:12" ht="15.75">
      <c r="B2627" s="1002"/>
      <c r="C2627" s="1003"/>
      <c r="D2627" s="1003"/>
      <c r="E2627" s="1003"/>
      <c r="F2627" s="1003"/>
      <c r="G2627" s="1003"/>
      <c r="H2627" s="1003"/>
      <c r="I2627" s="1003"/>
      <c r="J2627" s="1003"/>
      <c r="K2627" s="1003"/>
      <c r="L2627" s="1004"/>
    </row>
    <row r="2628" spans="2:12">
      <c r="B2628" s="651"/>
      <c r="L2628" s="652"/>
    </row>
    <row r="2629" spans="2:12" ht="15.75">
      <c r="B2629" s="638" t="s">
        <v>398</v>
      </c>
      <c r="C2629" s="8">
        <v>15</v>
      </c>
      <c r="D2629" s="9" t="s">
        <v>1036</v>
      </c>
      <c r="E2629" s="9"/>
      <c r="F2629" s="9"/>
      <c r="G2629" s="9"/>
      <c r="H2629" s="9"/>
      <c r="I2629" s="9"/>
      <c r="J2629" s="9"/>
      <c r="K2629" s="10"/>
      <c r="L2629" s="639"/>
    </row>
    <row r="2630" spans="2:12" ht="15">
      <c r="B2630" s="1005"/>
      <c r="C2630" s="1006"/>
      <c r="D2630" s="1006"/>
      <c r="E2630" s="1006"/>
      <c r="F2630" s="1006"/>
      <c r="G2630" s="1006"/>
      <c r="H2630" s="1006"/>
      <c r="I2630" s="1006"/>
      <c r="J2630" s="1006"/>
      <c r="K2630" s="1006"/>
      <c r="L2630" s="1007"/>
    </row>
    <row r="2631" spans="2:12" ht="31.5">
      <c r="B2631" s="642" t="s">
        <v>399</v>
      </c>
      <c r="C2631" s="8">
        <f>+'PROPUESTA ECONOMICA(Proponente)'!C301</f>
        <v>15.17</v>
      </c>
      <c r="D2631" s="12" t="str">
        <f>+VLOOKUP('MEMORIAS DE CANTIDADES'!C2631,'PROPUESTA ECONOMICA(Proponente)'!$C$21:$H$310,5,FALSE)</f>
        <v xml:space="preserve">Banca Dobbelt módulo a con espaldar marca konkretus (Incluye suministro e instalación). </v>
      </c>
      <c r="E2631" s="13"/>
      <c r="F2631" s="12"/>
      <c r="G2631" s="12"/>
      <c r="H2631" s="12"/>
      <c r="I2631" s="11" t="s">
        <v>400</v>
      </c>
      <c r="J2631" s="12" t="str">
        <f>+VLOOKUP('MEMORIAS DE CANTIDADES'!C2631,'PROPUESTA ECONOMICA(Proponente)'!$C$21:$H$310,6,FALSE)</f>
        <v>UN</v>
      </c>
      <c r="K2631" s="11" t="s">
        <v>401</v>
      </c>
      <c r="L2631" s="643">
        <f>SUM(L2632:L2637)</f>
        <v>48</v>
      </c>
    </row>
    <row r="2632" spans="2:12" ht="15">
      <c r="B2632" s="644"/>
      <c r="C2632" s="16"/>
      <c r="D2632" s="15"/>
      <c r="E2632" s="15"/>
      <c r="F2632" s="15"/>
      <c r="G2632" s="15"/>
      <c r="H2632" s="15"/>
      <c r="I2632" s="15"/>
      <c r="J2632" s="15"/>
      <c r="K2632" s="17"/>
      <c r="L2632" s="645"/>
    </row>
    <row r="2633" spans="2:12" ht="47.25">
      <c r="B2633" s="646" t="s">
        <v>402</v>
      </c>
      <c r="C2633" s="18" t="s">
        <v>403</v>
      </c>
      <c r="D2633" s="18" t="s">
        <v>404</v>
      </c>
      <c r="E2633" s="18" t="s">
        <v>405</v>
      </c>
      <c r="F2633" s="18" t="s">
        <v>406</v>
      </c>
      <c r="G2633" s="18" t="s">
        <v>407</v>
      </c>
      <c r="H2633" s="5" t="s">
        <v>408</v>
      </c>
      <c r="I2633" s="18" t="s">
        <v>409</v>
      </c>
      <c r="J2633" s="5" t="s">
        <v>410</v>
      </c>
      <c r="K2633" s="5" t="s">
        <v>411</v>
      </c>
      <c r="L2633" s="647" t="s">
        <v>412</v>
      </c>
    </row>
    <row r="2634" spans="2:12" ht="15">
      <c r="B2634" s="773"/>
      <c r="C2634" s="19"/>
      <c r="D2634" s="19"/>
      <c r="E2634" s="19"/>
      <c r="F2634" s="19"/>
      <c r="G2634" s="20"/>
      <c r="H2634" s="68"/>
      <c r="I2634" s="17"/>
      <c r="J2634" s="28">
        <v>30</v>
      </c>
      <c r="K2634" s="17"/>
      <c r="L2634" s="649">
        <f>PRODUCT(C2634:K2634)</f>
        <v>30</v>
      </c>
    </row>
    <row r="2635" spans="2:12" ht="15">
      <c r="B2635" s="773"/>
      <c r="C2635" s="19"/>
      <c r="D2635" s="19"/>
      <c r="E2635" s="19"/>
      <c r="F2635" s="19"/>
      <c r="G2635" s="20"/>
      <c r="H2635" s="68"/>
      <c r="I2635" s="17"/>
      <c r="J2635" s="28">
        <v>18</v>
      </c>
      <c r="K2635" s="17"/>
      <c r="L2635" s="649">
        <f>PRODUCT(C2635:K2635)</f>
        <v>18</v>
      </c>
    </row>
    <row r="2636" spans="2:12" ht="15">
      <c r="B2636" s="773"/>
      <c r="C2636" s="19"/>
      <c r="D2636" s="19"/>
      <c r="E2636" s="19"/>
      <c r="F2636" s="19"/>
      <c r="G2636" s="20"/>
      <c r="H2636" s="68"/>
      <c r="I2636" s="17"/>
      <c r="J2636" s="28"/>
      <c r="K2636" s="17"/>
      <c r="L2636" s="649"/>
    </row>
    <row r="2637" spans="2:12" ht="15.75">
      <c r="B2637" s="1002"/>
      <c r="C2637" s="1003"/>
      <c r="D2637" s="1003"/>
      <c r="E2637" s="1003"/>
      <c r="F2637" s="1003"/>
      <c r="G2637" s="1003"/>
      <c r="H2637" s="1003"/>
      <c r="I2637" s="1003"/>
      <c r="J2637" s="1003"/>
      <c r="K2637" s="1003"/>
      <c r="L2637" s="1004"/>
    </row>
    <row r="2638" spans="2:12">
      <c r="B2638" s="651"/>
      <c r="L2638" s="652"/>
    </row>
    <row r="2639" spans="2:12" ht="15.75">
      <c r="B2639" s="638" t="s">
        <v>398</v>
      </c>
      <c r="C2639" s="8">
        <v>15</v>
      </c>
      <c r="D2639" s="9" t="s">
        <v>1036</v>
      </c>
      <c r="E2639" s="9"/>
      <c r="F2639" s="9"/>
      <c r="G2639" s="9"/>
      <c r="H2639" s="9"/>
      <c r="I2639" s="9"/>
      <c r="J2639" s="9"/>
      <c r="K2639" s="10"/>
      <c r="L2639" s="639"/>
    </row>
    <row r="2640" spans="2:12" ht="15">
      <c r="B2640" s="1005"/>
      <c r="C2640" s="1006"/>
      <c r="D2640" s="1006"/>
      <c r="E2640" s="1006"/>
      <c r="F2640" s="1006"/>
      <c r="G2640" s="1006"/>
      <c r="H2640" s="1006"/>
      <c r="I2640" s="1006"/>
      <c r="J2640" s="1006"/>
      <c r="K2640" s="1006"/>
      <c r="L2640" s="1007"/>
    </row>
    <row r="2641" spans="2:12" ht="31.5">
      <c r="B2641" s="642" t="s">
        <v>399</v>
      </c>
      <c r="C2641" s="8">
        <f>+'PROPUESTA ECONOMICA(Proponente)'!C302</f>
        <v>15.18</v>
      </c>
      <c r="D2641" s="12" t="str">
        <f>+VLOOKUP('MEMORIAS DE CANTIDADES'!C2641,'PROPUESTA ECONOMICA(Proponente)'!$C$21:$H$310,5,FALSE)</f>
        <v xml:space="preserve">Banca Mc marca Konkretus,(Incluye suministro e instalación). </v>
      </c>
      <c r="E2641" s="13"/>
      <c r="F2641" s="12"/>
      <c r="G2641" s="12"/>
      <c r="H2641" s="12"/>
      <c r="I2641" s="11" t="s">
        <v>400</v>
      </c>
      <c r="J2641" s="12" t="str">
        <f>+VLOOKUP('MEMORIAS DE CANTIDADES'!C2641,'PROPUESTA ECONOMICA(Proponente)'!$C$21:$H$310,6,FALSE)</f>
        <v>UN</v>
      </c>
      <c r="K2641" s="11" t="s">
        <v>401</v>
      </c>
      <c r="L2641" s="643">
        <f>SUM(L2642:L2647)</f>
        <v>32</v>
      </c>
    </row>
    <row r="2642" spans="2:12" ht="15">
      <c r="B2642" s="644"/>
      <c r="C2642" s="16"/>
      <c r="D2642" s="15"/>
      <c r="E2642" s="15"/>
      <c r="F2642" s="15"/>
      <c r="G2642" s="15"/>
      <c r="H2642" s="15"/>
      <c r="I2642" s="15"/>
      <c r="J2642" s="15"/>
      <c r="K2642" s="17"/>
      <c r="L2642" s="645"/>
    </row>
    <row r="2643" spans="2:12" ht="47.25">
      <c r="B2643" s="646" t="s">
        <v>402</v>
      </c>
      <c r="C2643" s="18" t="s">
        <v>403</v>
      </c>
      <c r="D2643" s="18" t="s">
        <v>404</v>
      </c>
      <c r="E2643" s="18" t="s">
        <v>405</v>
      </c>
      <c r="F2643" s="18" t="s">
        <v>406</v>
      </c>
      <c r="G2643" s="18" t="s">
        <v>407</v>
      </c>
      <c r="H2643" s="5" t="s">
        <v>408</v>
      </c>
      <c r="I2643" s="18" t="s">
        <v>409</v>
      </c>
      <c r="J2643" s="5" t="s">
        <v>410</v>
      </c>
      <c r="K2643" s="5" t="s">
        <v>411</v>
      </c>
      <c r="L2643" s="647" t="s">
        <v>412</v>
      </c>
    </row>
    <row r="2644" spans="2:12" ht="15">
      <c r="B2644" s="773"/>
      <c r="C2644" s="19"/>
      <c r="D2644" s="19"/>
      <c r="E2644" s="19"/>
      <c r="F2644" s="19"/>
      <c r="G2644" s="20"/>
      <c r="H2644" s="68"/>
      <c r="I2644" s="17"/>
      <c r="J2644" s="28">
        <v>12</v>
      </c>
      <c r="K2644" s="17"/>
      <c r="L2644" s="649">
        <f>PRODUCT(C2644:K2644)</f>
        <v>12</v>
      </c>
    </row>
    <row r="2645" spans="2:12" ht="15">
      <c r="B2645" s="773"/>
      <c r="C2645" s="19"/>
      <c r="D2645" s="19"/>
      <c r="E2645" s="19"/>
      <c r="F2645" s="19"/>
      <c r="G2645" s="20"/>
      <c r="H2645" s="68"/>
      <c r="I2645" s="17"/>
      <c r="J2645" s="28">
        <v>20</v>
      </c>
      <c r="K2645" s="17"/>
      <c r="L2645" s="649">
        <f>PRODUCT(C2645:K2645)</f>
        <v>20</v>
      </c>
    </row>
    <row r="2646" spans="2:12" ht="15">
      <c r="B2646" s="773"/>
      <c r="C2646" s="19"/>
      <c r="D2646" s="19"/>
      <c r="E2646" s="19"/>
      <c r="F2646" s="19"/>
      <c r="G2646" s="20"/>
      <c r="H2646" s="68"/>
      <c r="I2646" s="17"/>
      <c r="J2646" s="28"/>
      <c r="K2646" s="17"/>
      <c r="L2646" s="649"/>
    </row>
    <row r="2647" spans="2:12" ht="15.75">
      <c r="B2647" s="1002"/>
      <c r="C2647" s="1003"/>
      <c r="D2647" s="1003"/>
      <c r="E2647" s="1003"/>
      <c r="F2647" s="1003"/>
      <c r="G2647" s="1003"/>
      <c r="H2647" s="1003"/>
      <c r="I2647" s="1003"/>
      <c r="J2647" s="1003"/>
      <c r="K2647" s="1003"/>
      <c r="L2647" s="1004"/>
    </row>
    <row r="2648" spans="2:12">
      <c r="B2648" s="651"/>
      <c r="L2648" s="652"/>
    </row>
    <row r="2649" spans="2:12" ht="15.75">
      <c r="B2649" s="638" t="s">
        <v>398</v>
      </c>
      <c r="C2649" s="8">
        <v>15</v>
      </c>
      <c r="D2649" s="9" t="s">
        <v>1036</v>
      </c>
      <c r="E2649" s="9"/>
      <c r="F2649" s="9"/>
      <c r="G2649" s="9"/>
      <c r="H2649" s="9"/>
      <c r="I2649" s="9"/>
      <c r="J2649" s="9"/>
      <c r="K2649" s="10"/>
      <c r="L2649" s="639"/>
    </row>
    <row r="2650" spans="2:12" ht="15">
      <c r="B2650" s="1005"/>
      <c r="C2650" s="1006"/>
      <c r="D2650" s="1006"/>
      <c r="E2650" s="1006"/>
      <c r="F2650" s="1006"/>
      <c r="G2650" s="1006"/>
      <c r="H2650" s="1006"/>
      <c r="I2650" s="1006"/>
      <c r="J2650" s="1006"/>
      <c r="K2650" s="1006"/>
      <c r="L2650" s="1007"/>
    </row>
    <row r="2651" spans="2:12" ht="31.5">
      <c r="B2651" s="642" t="s">
        <v>399</v>
      </c>
      <c r="C2651" s="8">
        <f>+'PROPUESTA ECONOMICA(Proponente)'!C303</f>
        <v>15.19</v>
      </c>
      <c r="D2651" s="12" t="str">
        <f>+VLOOKUP('MEMORIAS DE CANTIDADES'!C2651,'PROPUESTA ECONOMICA(Proponente)'!$C$21:$H$310,5,FALSE)</f>
        <v xml:space="preserve">Banca Samle con  konkretus, (Incluye suministro e instalación). </v>
      </c>
      <c r="E2651" s="13"/>
      <c r="F2651" s="12"/>
      <c r="G2651" s="12"/>
      <c r="H2651" s="12"/>
      <c r="I2651" s="11" t="s">
        <v>400</v>
      </c>
      <c r="J2651" s="12" t="str">
        <f>+VLOOKUP('MEMORIAS DE CANTIDADES'!C2651,'PROPUESTA ECONOMICA(Proponente)'!$C$21:$H$310,6,FALSE)</f>
        <v>UN</v>
      </c>
      <c r="K2651" s="11" t="s">
        <v>401</v>
      </c>
      <c r="L2651" s="643">
        <f>SUM(L2652:L2657)</f>
        <v>34</v>
      </c>
    </row>
    <row r="2652" spans="2:12" ht="15">
      <c r="B2652" s="644"/>
      <c r="C2652" s="16"/>
      <c r="D2652" s="15"/>
      <c r="E2652" s="15"/>
      <c r="F2652" s="15"/>
      <c r="G2652" s="15"/>
      <c r="H2652" s="15"/>
      <c r="I2652" s="15"/>
      <c r="J2652" s="15"/>
      <c r="K2652" s="17"/>
      <c r="L2652" s="645"/>
    </row>
    <row r="2653" spans="2:12" ht="47.25">
      <c r="B2653" s="646" t="s">
        <v>402</v>
      </c>
      <c r="C2653" s="18" t="s">
        <v>403</v>
      </c>
      <c r="D2653" s="18" t="s">
        <v>404</v>
      </c>
      <c r="E2653" s="18" t="s">
        <v>405</v>
      </c>
      <c r="F2653" s="18" t="s">
        <v>406</v>
      </c>
      <c r="G2653" s="18" t="s">
        <v>407</v>
      </c>
      <c r="H2653" s="5" t="s">
        <v>408</v>
      </c>
      <c r="I2653" s="18" t="s">
        <v>409</v>
      </c>
      <c r="J2653" s="5" t="s">
        <v>410</v>
      </c>
      <c r="K2653" s="5" t="s">
        <v>411</v>
      </c>
      <c r="L2653" s="647" t="s">
        <v>412</v>
      </c>
    </row>
    <row r="2654" spans="2:12" ht="15">
      <c r="B2654" s="773"/>
      <c r="C2654" s="19"/>
      <c r="D2654" s="19"/>
      <c r="E2654" s="19"/>
      <c r="F2654" s="19"/>
      <c r="G2654" s="20"/>
      <c r="H2654" s="68"/>
      <c r="I2654" s="17"/>
      <c r="J2654" s="28">
        <v>34</v>
      </c>
      <c r="K2654" s="17"/>
      <c r="L2654" s="649">
        <f>PRODUCT(C2654:K2654)</f>
        <v>34</v>
      </c>
    </row>
    <row r="2655" spans="2:12" ht="15">
      <c r="B2655" s="773"/>
      <c r="C2655" s="19"/>
      <c r="D2655" s="19"/>
      <c r="E2655" s="19"/>
      <c r="F2655" s="19"/>
      <c r="G2655" s="20"/>
      <c r="H2655" s="68"/>
      <c r="I2655" s="17"/>
      <c r="J2655" s="28"/>
      <c r="K2655" s="17"/>
      <c r="L2655" s="649"/>
    </row>
    <row r="2656" spans="2:12" ht="15">
      <c r="B2656" s="773"/>
      <c r="C2656" s="19"/>
      <c r="D2656" s="19"/>
      <c r="E2656" s="19"/>
      <c r="F2656" s="19"/>
      <c r="G2656" s="20"/>
      <c r="H2656" s="68"/>
      <c r="I2656" s="17"/>
      <c r="J2656" s="28"/>
      <c r="K2656" s="17"/>
      <c r="L2656" s="649"/>
    </row>
    <row r="2657" spans="2:12" ht="15.75">
      <c r="B2657" s="1002"/>
      <c r="C2657" s="1003"/>
      <c r="D2657" s="1003"/>
      <c r="E2657" s="1003"/>
      <c r="F2657" s="1003"/>
      <c r="G2657" s="1003"/>
      <c r="H2657" s="1003"/>
      <c r="I2657" s="1003"/>
      <c r="J2657" s="1003"/>
      <c r="K2657" s="1003"/>
      <c r="L2657" s="1004"/>
    </row>
    <row r="2658" spans="2:12">
      <c r="B2658" s="651"/>
      <c r="L2658" s="652"/>
    </row>
    <row r="2659" spans="2:12" ht="15.75">
      <c r="B2659" s="638" t="s">
        <v>398</v>
      </c>
      <c r="C2659" s="8">
        <v>15</v>
      </c>
      <c r="D2659" s="9" t="s">
        <v>1036</v>
      </c>
      <c r="E2659" s="9"/>
      <c r="F2659" s="9"/>
      <c r="G2659" s="9"/>
      <c r="H2659" s="9"/>
      <c r="I2659" s="9"/>
      <c r="J2659" s="9"/>
      <c r="K2659" s="10"/>
      <c r="L2659" s="639"/>
    </row>
    <row r="2660" spans="2:12" ht="15">
      <c r="B2660" s="1005"/>
      <c r="C2660" s="1006"/>
      <c r="D2660" s="1006"/>
      <c r="E2660" s="1006"/>
      <c r="F2660" s="1006"/>
      <c r="G2660" s="1006"/>
      <c r="H2660" s="1006"/>
      <c r="I2660" s="1006"/>
      <c r="J2660" s="1006"/>
      <c r="K2660" s="1006"/>
      <c r="L2660" s="1007"/>
    </row>
    <row r="2661" spans="2:12" ht="31.5">
      <c r="B2661" s="642" t="s">
        <v>399</v>
      </c>
      <c r="C2661" s="8" t="str">
        <f>+'PROPUESTA ECONOMICA(Proponente)'!C304</f>
        <v>15.20</v>
      </c>
      <c r="D2661" s="12" t="str">
        <f>+VLOOKUP('MEMORIAS DE CANTIDADES'!C2661,'PROPUESTA ECONOMICA(Proponente)'!$C$21:$H$310,5,FALSE)</f>
        <v xml:space="preserve">Caneca tipo m120 en malla metálica inoxidable, (Incluye suministro e instalación). </v>
      </c>
      <c r="E2661" s="13"/>
      <c r="F2661" s="12"/>
      <c r="G2661" s="12"/>
      <c r="H2661" s="12"/>
      <c r="I2661" s="11" t="s">
        <v>400</v>
      </c>
      <c r="J2661" s="12" t="str">
        <f>+VLOOKUP('MEMORIAS DE CANTIDADES'!C2661,'PROPUESTA ECONOMICA(Proponente)'!$C$21:$H$310,6,FALSE)</f>
        <v>UN</v>
      </c>
      <c r="K2661" s="11" t="s">
        <v>401</v>
      </c>
      <c r="L2661" s="643">
        <f>SUM(L2662:L2667)</f>
        <v>12</v>
      </c>
    </row>
    <row r="2662" spans="2:12" ht="15">
      <c r="B2662" s="644"/>
      <c r="C2662" s="16"/>
      <c r="D2662" s="15"/>
      <c r="E2662" s="15"/>
      <c r="F2662" s="15"/>
      <c r="G2662" s="15"/>
      <c r="H2662" s="15"/>
      <c r="I2662" s="15"/>
      <c r="J2662" s="15"/>
      <c r="K2662" s="17"/>
      <c r="L2662" s="645"/>
    </row>
    <row r="2663" spans="2:12" ht="47.25">
      <c r="B2663" s="646" t="s">
        <v>402</v>
      </c>
      <c r="C2663" s="18" t="s">
        <v>403</v>
      </c>
      <c r="D2663" s="18" t="s">
        <v>404</v>
      </c>
      <c r="E2663" s="18" t="s">
        <v>405</v>
      </c>
      <c r="F2663" s="18" t="s">
        <v>406</v>
      </c>
      <c r="G2663" s="18" t="s">
        <v>407</v>
      </c>
      <c r="H2663" s="5" t="s">
        <v>408</v>
      </c>
      <c r="I2663" s="18" t="s">
        <v>409</v>
      </c>
      <c r="J2663" s="5" t="s">
        <v>410</v>
      </c>
      <c r="K2663" s="5" t="s">
        <v>411</v>
      </c>
      <c r="L2663" s="647" t="s">
        <v>412</v>
      </c>
    </row>
    <row r="2664" spans="2:12" ht="15">
      <c r="B2664" s="773"/>
      <c r="C2664" s="19"/>
      <c r="D2664" s="19"/>
      <c r="E2664" s="19"/>
      <c r="F2664" s="19"/>
      <c r="G2664" s="20"/>
      <c r="H2664" s="68"/>
      <c r="I2664" s="17"/>
      <c r="J2664" s="28">
        <v>12</v>
      </c>
      <c r="K2664" s="17"/>
      <c r="L2664" s="649">
        <f>PRODUCT(C2664:K2664)</f>
        <v>12</v>
      </c>
    </row>
    <row r="2665" spans="2:12" ht="15">
      <c r="B2665" s="773"/>
      <c r="C2665" s="19"/>
      <c r="D2665" s="19"/>
      <c r="E2665" s="19"/>
      <c r="F2665" s="19"/>
      <c r="G2665" s="20"/>
      <c r="H2665" s="68"/>
      <c r="I2665" s="17"/>
      <c r="J2665" s="28"/>
      <c r="K2665" s="17"/>
      <c r="L2665" s="649"/>
    </row>
    <row r="2666" spans="2:12" ht="15">
      <c r="B2666" s="773"/>
      <c r="C2666" s="19"/>
      <c r="D2666" s="19"/>
      <c r="E2666" s="19"/>
      <c r="F2666" s="19"/>
      <c r="G2666" s="20"/>
      <c r="H2666" s="68"/>
      <c r="I2666" s="17"/>
      <c r="J2666" s="28"/>
      <c r="K2666" s="17"/>
      <c r="L2666" s="649"/>
    </row>
    <row r="2667" spans="2:12" ht="15.75">
      <c r="B2667" s="1002"/>
      <c r="C2667" s="1003"/>
      <c r="D2667" s="1003"/>
      <c r="E2667" s="1003"/>
      <c r="F2667" s="1003"/>
      <c r="G2667" s="1003"/>
      <c r="H2667" s="1003"/>
      <c r="I2667" s="1003"/>
      <c r="J2667" s="1003"/>
      <c r="K2667" s="1003"/>
      <c r="L2667" s="1004"/>
    </row>
    <row r="2668" spans="2:12">
      <c r="B2668" s="651"/>
      <c r="L2668" s="652"/>
    </row>
    <row r="2669" spans="2:12" ht="15.75">
      <c r="B2669" s="638" t="s">
        <v>398</v>
      </c>
      <c r="C2669" s="8">
        <v>15</v>
      </c>
      <c r="D2669" s="9" t="s">
        <v>1036</v>
      </c>
      <c r="E2669" s="9"/>
      <c r="F2669" s="9"/>
      <c r="G2669" s="9"/>
      <c r="H2669" s="9"/>
      <c r="I2669" s="9"/>
      <c r="J2669" s="9"/>
      <c r="K2669" s="10"/>
      <c r="L2669" s="639"/>
    </row>
    <row r="2670" spans="2:12" ht="15">
      <c r="B2670" s="1005"/>
      <c r="C2670" s="1006"/>
      <c r="D2670" s="1006"/>
      <c r="E2670" s="1006"/>
      <c r="F2670" s="1006"/>
      <c r="G2670" s="1006"/>
      <c r="H2670" s="1006"/>
      <c r="I2670" s="1006"/>
      <c r="J2670" s="1006"/>
      <c r="K2670" s="1006"/>
      <c r="L2670" s="1007"/>
    </row>
    <row r="2671" spans="2:12" ht="78.75">
      <c r="B2671" s="642" t="s">
        <v>399</v>
      </c>
      <c r="C2671" s="8">
        <f>+'PROPUESTA ECONOMICA(Proponente)'!C305</f>
        <v>15.21</v>
      </c>
      <c r="D2671" s="12" t="str">
        <f>+VLOOKUP('MEMORIAS DE CANTIDADES'!C2671,'PROPUESTA ECONOMICA(Proponente)'!$C$21:$H$310,5,FALSE)</f>
        <v>Suministro e instalación de sonorización de espacios (incluyes: Altavoz de Bocina, Amp. Behringer, Procesador de Audio DBX, Microfonía Inalámbrica Shure, y cables de conexiones)..</v>
      </c>
      <c r="E2671" s="13"/>
      <c r="F2671" s="12"/>
      <c r="G2671" s="12"/>
      <c r="H2671" s="12"/>
      <c r="I2671" s="11" t="s">
        <v>400</v>
      </c>
      <c r="J2671" s="12" t="str">
        <f>+VLOOKUP('MEMORIAS DE CANTIDADES'!C2671,'PROPUESTA ECONOMICA(Proponente)'!$C$21:$H$310,6,FALSE)</f>
        <v>UN</v>
      </c>
      <c r="K2671" s="11" t="s">
        <v>401</v>
      </c>
      <c r="L2671" s="643">
        <f>SUM(L2672:L2677)</f>
        <v>1</v>
      </c>
    </row>
    <row r="2672" spans="2:12" ht="15">
      <c r="B2672" s="644"/>
      <c r="C2672" s="16"/>
      <c r="D2672" s="15"/>
      <c r="E2672" s="15"/>
      <c r="F2672" s="15"/>
      <c r="G2672" s="15"/>
      <c r="H2672" s="15"/>
      <c r="I2672" s="15"/>
      <c r="J2672" s="15"/>
      <c r="K2672" s="17"/>
      <c r="L2672" s="645"/>
    </row>
    <row r="2673" spans="2:12" ht="47.25">
      <c r="B2673" s="646" t="s">
        <v>402</v>
      </c>
      <c r="C2673" s="18" t="s">
        <v>403</v>
      </c>
      <c r="D2673" s="18" t="s">
        <v>404</v>
      </c>
      <c r="E2673" s="18" t="s">
        <v>405</v>
      </c>
      <c r="F2673" s="18" t="s">
        <v>406</v>
      </c>
      <c r="G2673" s="18" t="s">
        <v>407</v>
      </c>
      <c r="H2673" s="5" t="s">
        <v>408</v>
      </c>
      <c r="I2673" s="18" t="s">
        <v>409</v>
      </c>
      <c r="J2673" s="5" t="s">
        <v>410</v>
      </c>
      <c r="K2673" s="5" t="s">
        <v>411</v>
      </c>
      <c r="L2673" s="647" t="s">
        <v>412</v>
      </c>
    </row>
    <row r="2674" spans="2:12" ht="15">
      <c r="B2674" s="773"/>
      <c r="C2674" s="19"/>
      <c r="D2674" s="19"/>
      <c r="E2674" s="19"/>
      <c r="F2674" s="19"/>
      <c r="G2674" s="20"/>
      <c r="H2674" s="68"/>
      <c r="I2674" s="17"/>
      <c r="J2674" s="28">
        <v>1</v>
      </c>
      <c r="K2674" s="17"/>
      <c r="L2674" s="649">
        <f>PRODUCT(C2674:K2674)</f>
        <v>1</v>
      </c>
    </row>
    <row r="2675" spans="2:12" ht="15">
      <c r="B2675" s="773"/>
      <c r="C2675" s="19"/>
      <c r="D2675" s="19"/>
      <c r="E2675" s="19"/>
      <c r="F2675" s="19"/>
      <c r="G2675" s="20"/>
      <c r="H2675" s="68"/>
      <c r="I2675" s="17"/>
      <c r="J2675" s="28"/>
      <c r="K2675" s="17"/>
      <c r="L2675" s="649"/>
    </row>
    <row r="2676" spans="2:12" ht="15">
      <c r="B2676" s="773"/>
      <c r="C2676" s="19"/>
      <c r="D2676" s="19"/>
      <c r="E2676" s="19"/>
      <c r="F2676" s="19"/>
      <c r="G2676" s="20"/>
      <c r="H2676" s="68"/>
      <c r="I2676" s="17"/>
      <c r="J2676" s="28"/>
      <c r="K2676" s="17"/>
      <c r="L2676" s="649"/>
    </row>
    <row r="2677" spans="2:12" ht="15.75">
      <c r="B2677" s="1002"/>
      <c r="C2677" s="1003"/>
      <c r="D2677" s="1003"/>
      <c r="E2677" s="1003"/>
      <c r="F2677" s="1003"/>
      <c r="G2677" s="1003"/>
      <c r="H2677" s="1003"/>
      <c r="I2677" s="1003"/>
      <c r="J2677" s="1003"/>
      <c r="K2677" s="1003"/>
      <c r="L2677" s="1004"/>
    </row>
    <row r="2678" spans="2:12">
      <c r="B2678" s="651"/>
      <c r="L2678" s="652"/>
    </row>
    <row r="2679" spans="2:12">
      <c r="B2679" s="651"/>
      <c r="L2679" s="652"/>
    </row>
    <row r="2680" spans="2:12" ht="15.75">
      <c r="B2680" s="638" t="s">
        <v>398</v>
      </c>
      <c r="C2680" s="8">
        <v>16</v>
      </c>
      <c r="D2680" s="9" t="s">
        <v>1037</v>
      </c>
      <c r="E2680" s="9"/>
      <c r="F2680" s="9"/>
      <c r="G2680" s="9"/>
      <c r="H2680" s="9"/>
      <c r="I2680" s="9"/>
      <c r="J2680" s="9"/>
      <c r="K2680" s="10"/>
      <c r="L2680" s="639"/>
    </row>
    <row r="2681" spans="2:12" ht="15">
      <c r="B2681" s="1005"/>
      <c r="C2681" s="1006"/>
      <c r="D2681" s="1006"/>
      <c r="E2681" s="1006"/>
      <c r="F2681" s="1006"/>
      <c r="G2681" s="1006"/>
      <c r="H2681" s="1006"/>
      <c r="I2681" s="1006"/>
      <c r="J2681" s="1006"/>
      <c r="K2681" s="1006"/>
      <c r="L2681" s="1007"/>
    </row>
    <row r="2682" spans="2:12" ht="63">
      <c r="B2682" s="642" t="s">
        <v>399</v>
      </c>
      <c r="C2682" s="8">
        <f>+'PROPUESTA ECONOMICA(Proponente)'!C308</f>
        <v>16.100000000000001</v>
      </c>
      <c r="D2682" s="12" t="str">
        <f>+VLOOKUP('MEMORIAS DE CANTIDADES'!C2682,'PROPUESTA ECONOMICA(Proponente)'!$C$21:$H$310,5,FALSE)</f>
        <v>Suministro e instalación de  señalización en acrílico de cristal de 30 cm x 15 cm y 5mm de espesor (incluye dilatadores de soporte en aluminio).</v>
      </c>
      <c r="E2682" s="13"/>
      <c r="F2682" s="12"/>
      <c r="G2682" s="12"/>
      <c r="H2682" s="12"/>
      <c r="I2682" s="11" t="s">
        <v>400</v>
      </c>
      <c r="J2682" s="12" t="str">
        <f>+VLOOKUP('MEMORIAS DE CANTIDADES'!C2682,'PROPUESTA ECONOMICA(Proponente)'!$C$21:$H$310,6,FALSE)</f>
        <v>UN</v>
      </c>
      <c r="K2682" s="11" t="s">
        <v>401</v>
      </c>
      <c r="L2682" s="643">
        <f>SUM(L2683:L2691)</f>
        <v>32</v>
      </c>
    </row>
    <row r="2683" spans="2:12" ht="15">
      <c r="B2683" s="644"/>
      <c r="C2683" s="16"/>
      <c r="D2683" s="15"/>
      <c r="E2683" s="15"/>
      <c r="F2683" s="15"/>
      <c r="G2683" s="15"/>
      <c r="H2683" s="15"/>
      <c r="I2683" s="15"/>
      <c r="J2683" s="15"/>
      <c r="K2683" s="17"/>
      <c r="L2683" s="645"/>
    </row>
    <row r="2684" spans="2:12" ht="47.25">
      <c r="B2684" s="646" t="s">
        <v>402</v>
      </c>
      <c r="C2684" s="18" t="s">
        <v>403</v>
      </c>
      <c r="D2684" s="18" t="s">
        <v>404</v>
      </c>
      <c r="E2684" s="18" t="s">
        <v>405</v>
      </c>
      <c r="F2684" s="18" t="s">
        <v>406</v>
      </c>
      <c r="G2684" s="18" t="s">
        <v>407</v>
      </c>
      <c r="H2684" s="5" t="s">
        <v>408</v>
      </c>
      <c r="I2684" s="18" t="s">
        <v>409</v>
      </c>
      <c r="J2684" s="5" t="s">
        <v>410</v>
      </c>
      <c r="K2684" s="5" t="s">
        <v>411</v>
      </c>
      <c r="L2684" s="647" t="s">
        <v>412</v>
      </c>
    </row>
    <row r="2685" spans="2:12" ht="15">
      <c r="B2685" s="773" t="s">
        <v>580</v>
      </c>
      <c r="C2685" s="19"/>
      <c r="D2685" s="19"/>
      <c r="E2685" s="19"/>
      <c r="F2685" s="19"/>
      <c r="G2685" s="20"/>
      <c r="H2685" s="68"/>
      <c r="I2685" s="17"/>
      <c r="J2685" s="28">
        <v>10</v>
      </c>
      <c r="K2685" s="17"/>
      <c r="L2685" s="649">
        <f>PRODUCT(C2685:K2685)</f>
        <v>10</v>
      </c>
    </row>
    <row r="2686" spans="2:12" ht="15">
      <c r="B2686" s="773" t="s">
        <v>581</v>
      </c>
      <c r="C2686" s="19"/>
      <c r="D2686" s="19"/>
      <c r="E2686" s="19"/>
      <c r="F2686" s="19"/>
      <c r="G2686" s="20"/>
      <c r="H2686" s="68"/>
      <c r="I2686" s="17"/>
      <c r="J2686" s="28">
        <v>6</v>
      </c>
      <c r="K2686" s="17"/>
      <c r="L2686" s="649">
        <f t="shared" ref="L2686:L2689" si="189">PRODUCT(C2686:K2686)</f>
        <v>6</v>
      </c>
    </row>
    <row r="2687" spans="2:12" ht="15">
      <c r="B2687" s="773" t="s">
        <v>839</v>
      </c>
      <c r="C2687" s="19"/>
      <c r="D2687" s="19"/>
      <c r="E2687" s="19"/>
      <c r="F2687" s="19"/>
      <c r="G2687" s="20"/>
      <c r="H2687" s="68"/>
      <c r="I2687" s="17"/>
      <c r="J2687" s="28">
        <v>3</v>
      </c>
      <c r="K2687" s="17"/>
      <c r="L2687" s="649">
        <f t="shared" si="189"/>
        <v>3</v>
      </c>
    </row>
    <row r="2688" spans="2:12" ht="15">
      <c r="B2688" s="773" t="s">
        <v>582</v>
      </c>
      <c r="C2688" s="19"/>
      <c r="D2688" s="19"/>
      <c r="E2688" s="19"/>
      <c r="F2688" s="19"/>
      <c r="G2688" s="20"/>
      <c r="H2688" s="68"/>
      <c r="I2688" s="17"/>
      <c r="J2688" s="28">
        <v>10</v>
      </c>
      <c r="K2688" s="17"/>
      <c r="L2688" s="649">
        <f t="shared" si="189"/>
        <v>10</v>
      </c>
    </row>
    <row r="2689" spans="2:12" ht="15">
      <c r="B2689" s="773" t="s">
        <v>852</v>
      </c>
      <c r="C2689" s="19"/>
      <c r="D2689" s="19"/>
      <c r="E2689" s="19"/>
      <c r="F2689" s="19"/>
      <c r="G2689" s="20"/>
      <c r="H2689" s="68"/>
      <c r="I2689" s="17"/>
      <c r="J2689" s="28">
        <v>3</v>
      </c>
      <c r="K2689" s="17"/>
      <c r="L2689" s="649">
        <f t="shared" si="189"/>
        <v>3</v>
      </c>
    </row>
    <row r="2690" spans="2:12" ht="15">
      <c r="B2690" s="655"/>
      <c r="C2690" s="19"/>
      <c r="D2690" s="19"/>
      <c r="E2690" s="19"/>
      <c r="F2690" s="19"/>
      <c r="G2690" s="20"/>
      <c r="H2690" s="68"/>
      <c r="I2690" s="17"/>
      <c r="J2690" s="28"/>
      <c r="K2690" s="17"/>
      <c r="L2690" s="649"/>
    </row>
    <row r="2691" spans="2:12" ht="15.75">
      <c r="B2691" s="1002"/>
      <c r="C2691" s="1003"/>
      <c r="D2691" s="1003"/>
      <c r="E2691" s="1003"/>
      <c r="F2691" s="1003"/>
      <c r="G2691" s="1003"/>
      <c r="H2691" s="1003"/>
      <c r="I2691" s="1003"/>
      <c r="J2691" s="1003"/>
      <c r="K2691" s="1003"/>
      <c r="L2691" s="1004"/>
    </row>
    <row r="2692" spans="2:12">
      <c r="B2692" s="651"/>
      <c r="L2692" s="652"/>
    </row>
    <row r="2693" spans="2:12" ht="15.75">
      <c r="B2693" s="638" t="s">
        <v>398</v>
      </c>
      <c r="C2693" s="8">
        <v>16</v>
      </c>
      <c r="D2693" s="9" t="s">
        <v>1037</v>
      </c>
      <c r="E2693" s="9"/>
      <c r="F2693" s="9"/>
      <c r="G2693" s="9"/>
      <c r="H2693" s="9"/>
      <c r="I2693" s="9"/>
      <c r="J2693" s="9"/>
      <c r="K2693" s="10"/>
      <c r="L2693" s="639"/>
    </row>
    <row r="2694" spans="2:12" ht="15">
      <c r="B2694" s="1005"/>
      <c r="C2694" s="1006"/>
      <c r="D2694" s="1006"/>
      <c r="E2694" s="1006"/>
      <c r="F2694" s="1006"/>
      <c r="G2694" s="1006"/>
      <c r="H2694" s="1006"/>
      <c r="I2694" s="1006"/>
      <c r="J2694" s="1006"/>
      <c r="K2694" s="1006"/>
      <c r="L2694" s="1007"/>
    </row>
    <row r="2695" spans="2:12" ht="63">
      <c r="B2695" s="642" t="s">
        <v>399</v>
      </c>
      <c r="C2695" s="25">
        <f>+'PROPUESTA ECONOMICA(Proponente)'!C309</f>
        <v>16.2</v>
      </c>
      <c r="D2695" s="12" t="str">
        <f>+VLOOKUP('MEMORIAS DE CANTIDADES'!C2695,'PROPUESTA ECONOMICA(Proponente)'!$C$21:$H$310,5,FALSE)</f>
        <v>Suministro e instalación de letras en acrílico de cristal del nombre del estadio de color y dimensiones de acuerdo a diseño (incluye instalación).</v>
      </c>
      <c r="E2695" s="13"/>
      <c r="F2695" s="12"/>
      <c r="G2695" s="12"/>
      <c r="H2695" s="12"/>
      <c r="I2695" s="11" t="s">
        <v>400</v>
      </c>
      <c r="J2695" s="12" t="str">
        <f>+VLOOKUP('MEMORIAS DE CANTIDADES'!C2695,'PROPUESTA ECONOMICA(Proponente)'!$C$21:$H$310,6,FALSE)</f>
        <v>UN</v>
      </c>
      <c r="K2695" s="11" t="s">
        <v>401</v>
      </c>
      <c r="L2695" s="643">
        <f>SUM(L2696:L2702)</f>
        <v>60</v>
      </c>
    </row>
    <row r="2696" spans="2:12" ht="15">
      <c r="B2696" s="644"/>
      <c r="C2696" s="16"/>
      <c r="D2696" s="15"/>
      <c r="E2696" s="15"/>
      <c r="F2696" s="15"/>
      <c r="G2696" s="15"/>
      <c r="H2696" s="15"/>
      <c r="I2696" s="15"/>
      <c r="J2696" s="15"/>
      <c r="K2696" s="17"/>
      <c r="L2696" s="645"/>
    </row>
    <row r="2697" spans="2:12" ht="47.25">
      <c r="B2697" s="646" t="s">
        <v>402</v>
      </c>
      <c r="C2697" s="18" t="s">
        <v>403</v>
      </c>
      <c r="D2697" s="18" t="s">
        <v>404</v>
      </c>
      <c r="E2697" s="18" t="s">
        <v>405</v>
      </c>
      <c r="F2697" s="18" t="s">
        <v>406</v>
      </c>
      <c r="G2697" s="18" t="s">
        <v>407</v>
      </c>
      <c r="H2697" s="5" t="s">
        <v>408</v>
      </c>
      <c r="I2697" s="18" t="s">
        <v>409</v>
      </c>
      <c r="J2697" s="5" t="s">
        <v>410</v>
      </c>
      <c r="K2697" s="5" t="s">
        <v>411</v>
      </c>
      <c r="L2697" s="647" t="s">
        <v>412</v>
      </c>
    </row>
    <row r="2698" spans="2:12" ht="15">
      <c r="B2698" s="773" t="s">
        <v>438</v>
      </c>
      <c r="C2698" s="19"/>
      <c r="D2698" s="19"/>
      <c r="E2698" s="19"/>
      <c r="F2698" s="19"/>
      <c r="G2698" s="20"/>
      <c r="H2698" s="68"/>
      <c r="I2698" s="17">
        <v>30</v>
      </c>
      <c r="J2698" s="28">
        <v>2</v>
      </c>
      <c r="K2698" s="17"/>
      <c r="L2698" s="649">
        <f>PRODUCT(C2698:K2698)</f>
        <v>60</v>
      </c>
    </row>
    <row r="2699" spans="2:12" ht="15">
      <c r="B2699" s="773"/>
      <c r="C2699" s="19"/>
      <c r="D2699" s="19"/>
      <c r="E2699" s="19"/>
      <c r="F2699" s="19"/>
      <c r="G2699" s="20"/>
      <c r="H2699" s="68"/>
      <c r="I2699" s="17"/>
      <c r="J2699" s="28"/>
      <c r="K2699" s="17"/>
      <c r="L2699" s="649"/>
    </row>
    <row r="2700" spans="2:12" ht="15">
      <c r="B2700" s="773"/>
      <c r="C2700" s="19"/>
      <c r="D2700" s="19"/>
      <c r="E2700" s="19"/>
      <c r="F2700" s="19"/>
      <c r="G2700" s="20"/>
      <c r="H2700" s="68"/>
      <c r="I2700" s="17"/>
      <c r="J2700" s="28"/>
      <c r="K2700" s="17"/>
      <c r="L2700" s="649"/>
    </row>
    <row r="2701" spans="2:12" ht="15">
      <c r="B2701" s="773"/>
      <c r="C2701" s="19"/>
      <c r="D2701" s="19"/>
      <c r="E2701" s="19"/>
      <c r="F2701" s="19"/>
      <c r="G2701" s="20"/>
      <c r="H2701" s="68"/>
      <c r="I2701" s="17"/>
      <c r="J2701" s="28"/>
      <c r="K2701" s="17"/>
      <c r="L2701" s="649"/>
    </row>
    <row r="2702" spans="2:12" ht="15">
      <c r="B2702" s="655"/>
      <c r="C2702" s="19"/>
      <c r="D2702" s="19"/>
      <c r="E2702" s="19"/>
      <c r="F2702" s="19"/>
      <c r="G2702" s="20"/>
      <c r="H2702" s="68"/>
      <c r="I2702" s="17"/>
      <c r="J2702" s="28"/>
      <c r="K2702" s="17"/>
      <c r="L2702" s="649"/>
    </row>
    <row r="2703" spans="2:12" ht="15">
      <c r="B2703" s="651"/>
      <c r="C2703" s="448"/>
      <c r="D2703" s="448"/>
      <c r="E2703" s="448"/>
      <c r="F2703" s="448"/>
      <c r="G2703" s="449"/>
      <c r="H2703" s="450"/>
      <c r="I2703" s="774"/>
      <c r="J2703" s="775"/>
      <c r="K2703" s="774"/>
      <c r="L2703" s="776"/>
    </row>
    <row r="2704" spans="2:12" ht="15.6" customHeight="1">
      <c r="B2704" s="978" t="s">
        <v>1013</v>
      </c>
      <c r="C2704" s="979"/>
      <c r="D2704" s="979"/>
      <c r="E2704" s="979"/>
      <c r="F2704" s="979"/>
      <c r="G2704" s="979"/>
      <c r="H2704" s="979"/>
      <c r="I2704" s="979"/>
      <c r="J2704" s="979"/>
      <c r="K2704" s="979"/>
      <c r="L2704" s="980"/>
    </row>
    <row r="2705" spans="2:12" ht="15">
      <c r="B2705" s="651"/>
      <c r="C2705" s="448"/>
      <c r="D2705" s="448"/>
      <c r="E2705" s="448"/>
      <c r="F2705" s="448"/>
      <c r="G2705" s="449"/>
      <c r="H2705" s="450"/>
      <c r="I2705" s="774"/>
      <c r="J2705" s="775"/>
      <c r="K2705" s="774"/>
      <c r="L2705" s="776"/>
    </row>
    <row r="2706" spans="2:12" ht="31.5">
      <c r="B2706" s="642" t="s">
        <v>399</v>
      </c>
      <c r="C2706" s="25" t="str">
        <f>+'PROPUESTA ECONOMICA(Proponente)'!C360</f>
        <v>15.2</v>
      </c>
      <c r="D2706" s="12" t="str">
        <f>+'PROPUESTA ECONOMICA(Proponente)'!G360</f>
        <v>Suministro e instalacion de sardinel tipo U10, incluye 3cm de mortero 1:4</v>
      </c>
      <c r="E2706" s="13"/>
      <c r="F2706" s="12"/>
      <c r="G2706" s="12"/>
      <c r="H2706" s="12"/>
      <c r="I2706" s="11" t="s">
        <v>400</v>
      </c>
      <c r="J2706" s="12" t="s">
        <v>1045</v>
      </c>
      <c r="K2706" s="11" t="s">
        <v>401</v>
      </c>
      <c r="L2706" s="643">
        <f>SUM(L2707:L2712)</f>
        <v>1340</v>
      </c>
    </row>
    <row r="2707" spans="2:12" ht="15">
      <c r="B2707" s="644"/>
      <c r="C2707" s="16"/>
      <c r="D2707" s="15"/>
      <c r="E2707" s="15"/>
      <c r="F2707" s="15"/>
      <c r="G2707" s="15"/>
      <c r="H2707" s="15"/>
      <c r="I2707" s="15"/>
      <c r="J2707" s="15"/>
      <c r="K2707" s="17"/>
      <c r="L2707" s="645"/>
    </row>
    <row r="2708" spans="2:12" ht="47.25">
      <c r="B2708" s="646" t="s">
        <v>402</v>
      </c>
      <c r="C2708" s="18" t="s">
        <v>403</v>
      </c>
      <c r="D2708" s="18" t="s">
        <v>404</v>
      </c>
      <c r="E2708" s="18" t="s">
        <v>405</v>
      </c>
      <c r="F2708" s="18" t="s">
        <v>406</v>
      </c>
      <c r="G2708" s="18" t="s">
        <v>407</v>
      </c>
      <c r="H2708" s="5" t="s">
        <v>408</v>
      </c>
      <c r="I2708" s="18" t="s">
        <v>409</v>
      </c>
      <c r="J2708" s="5" t="s">
        <v>410</v>
      </c>
      <c r="K2708" s="5" t="s">
        <v>411</v>
      </c>
      <c r="L2708" s="647" t="s">
        <v>412</v>
      </c>
    </row>
    <row r="2709" spans="2:12" ht="15">
      <c r="B2709" s="648" t="s">
        <v>570</v>
      </c>
      <c r="C2709" s="20"/>
      <c r="D2709" s="19"/>
      <c r="E2709" s="19"/>
      <c r="F2709" s="19">
        <v>464</v>
      </c>
      <c r="G2709" s="20"/>
      <c r="H2709" s="68"/>
      <c r="I2709" s="17">
        <v>1</v>
      </c>
      <c r="J2709" s="69"/>
      <c r="K2709" s="17"/>
      <c r="L2709" s="649">
        <f t="shared" ref="L2709:L2712" si="190">PRODUCT(C2709:K2709)</f>
        <v>464</v>
      </c>
    </row>
    <row r="2710" spans="2:12" ht="15">
      <c r="B2710" s="648" t="s">
        <v>851</v>
      </c>
      <c r="C2710" s="20"/>
      <c r="D2710" s="19"/>
      <c r="E2710" s="19"/>
      <c r="F2710" s="19">
        <v>121</v>
      </c>
      <c r="G2710" s="20"/>
      <c r="H2710" s="68"/>
      <c r="I2710" s="17">
        <v>1</v>
      </c>
      <c r="J2710" s="69"/>
      <c r="K2710" s="17"/>
      <c r="L2710" s="649">
        <f t="shared" si="190"/>
        <v>121</v>
      </c>
    </row>
    <row r="2711" spans="2:12" ht="15">
      <c r="B2711" s="648" t="s">
        <v>868</v>
      </c>
      <c r="C2711" s="20"/>
      <c r="D2711" s="19"/>
      <c r="E2711" s="19"/>
      <c r="F2711" s="19">
        <v>445</v>
      </c>
      <c r="G2711" s="20"/>
      <c r="H2711" s="68"/>
      <c r="I2711" s="17">
        <v>1</v>
      </c>
      <c r="J2711" s="69"/>
      <c r="K2711" s="17"/>
      <c r="L2711" s="649">
        <f t="shared" si="190"/>
        <v>445</v>
      </c>
    </row>
    <row r="2712" spans="2:12" ht="15">
      <c r="B2712" s="650" t="s">
        <v>782</v>
      </c>
      <c r="C2712" s="20"/>
      <c r="D2712" s="20"/>
      <c r="E2712" s="20"/>
      <c r="F2712" s="20">
        <v>310</v>
      </c>
      <c r="G2712" s="20"/>
      <c r="H2712" s="68"/>
      <c r="I2712" s="17">
        <v>1</v>
      </c>
      <c r="J2712" s="69"/>
      <c r="K2712" s="17"/>
      <c r="L2712" s="649">
        <f t="shared" si="190"/>
        <v>310</v>
      </c>
    </row>
    <row r="2713" spans="2:12" ht="15">
      <c r="B2713" s="650"/>
      <c r="C2713" s="20"/>
      <c r="D2713" s="20"/>
      <c r="E2713" s="20"/>
      <c r="F2713" s="20"/>
      <c r="G2713" s="20"/>
      <c r="H2713" s="68"/>
      <c r="I2713" s="17"/>
      <c r="J2713" s="69"/>
      <c r="K2713" s="17"/>
      <c r="L2713" s="649"/>
    </row>
    <row r="2714" spans="2:12" ht="15.75">
      <c r="B2714" s="1002"/>
      <c r="C2714" s="1003"/>
      <c r="D2714" s="1003"/>
      <c r="E2714" s="1003"/>
      <c r="F2714" s="1003"/>
      <c r="G2714" s="1003"/>
      <c r="H2714" s="1003"/>
      <c r="I2714" s="1003"/>
      <c r="J2714" s="1003"/>
      <c r="K2714" s="1003"/>
      <c r="L2714" s="1004"/>
    </row>
    <row r="2715" spans="2:12" ht="15">
      <c r="B2715" s="651"/>
      <c r="C2715" s="448"/>
      <c r="D2715" s="448"/>
      <c r="E2715" s="448"/>
      <c r="F2715" s="448"/>
      <c r="G2715" s="449"/>
      <c r="H2715" s="450"/>
      <c r="I2715" s="774"/>
      <c r="J2715" s="775"/>
      <c r="K2715" s="774"/>
      <c r="L2715" s="776"/>
    </row>
    <row r="2716" spans="2:12" ht="15">
      <c r="B2716" s="651"/>
      <c r="C2716" s="448"/>
      <c r="D2716" s="448"/>
      <c r="E2716" s="448"/>
      <c r="F2716" s="448"/>
      <c r="G2716" s="449"/>
      <c r="H2716" s="450"/>
      <c r="I2716" s="774"/>
      <c r="J2716" s="775"/>
      <c r="K2716" s="774"/>
      <c r="L2716" s="776"/>
    </row>
    <row r="2717" spans="2:12" ht="15">
      <c r="B2717" s="651"/>
      <c r="C2717" s="448"/>
      <c r="D2717" s="448"/>
      <c r="E2717" s="448"/>
      <c r="F2717" s="448"/>
      <c r="G2717" s="449"/>
      <c r="H2717" s="450"/>
      <c r="I2717" s="774"/>
      <c r="J2717" s="775"/>
      <c r="K2717" s="774"/>
      <c r="L2717" s="776"/>
    </row>
    <row r="2718" spans="2:12" ht="15">
      <c r="B2718" s="651"/>
      <c r="C2718" s="448"/>
      <c r="D2718" s="448"/>
      <c r="E2718" s="448"/>
      <c r="F2718" s="448"/>
      <c r="G2718" s="449"/>
      <c r="H2718" s="450"/>
      <c r="I2718" s="774"/>
      <c r="J2718" s="775"/>
      <c r="K2718" s="774"/>
      <c r="L2718" s="776"/>
    </row>
    <row r="2719" spans="2:12" ht="15">
      <c r="B2719" s="651"/>
      <c r="C2719" s="448"/>
      <c r="D2719" s="448"/>
      <c r="E2719" s="448"/>
      <c r="F2719" s="448"/>
      <c r="G2719" s="449"/>
      <c r="H2719" s="450"/>
      <c r="I2719" s="774"/>
      <c r="J2719" s="775"/>
      <c r="K2719" s="774"/>
      <c r="L2719" s="776"/>
    </row>
    <row r="2720" spans="2:12" s="71" customFormat="1" ht="15" customHeight="1">
      <c r="B2720" s="1034"/>
      <c r="C2720" s="1035"/>
      <c r="D2720" s="1035"/>
      <c r="E2720" s="1035"/>
      <c r="F2720" s="1035"/>
      <c r="G2720" s="1035"/>
      <c r="H2720" s="1035"/>
      <c r="I2720" s="1035"/>
      <c r="J2720" s="1035"/>
      <c r="K2720" s="1035"/>
      <c r="L2720" s="1036"/>
    </row>
    <row r="2721" spans="2:12" s="71" customFormat="1" ht="9.75" customHeight="1">
      <c r="B2721" s="777"/>
      <c r="C2721" s="778"/>
      <c r="D2721" s="778"/>
      <c r="E2721" s="778"/>
      <c r="F2721" s="778"/>
      <c r="G2721" s="778"/>
      <c r="H2721" s="778"/>
      <c r="I2721" s="778"/>
      <c r="J2721" s="778"/>
      <c r="K2721" s="778"/>
      <c r="L2721" s="779"/>
    </row>
    <row r="2722" spans="2:12" ht="15.6" customHeight="1">
      <c r="B2722" s="780"/>
      <c r="C2722" s="781"/>
      <c r="D2722" s="781"/>
      <c r="E2722" s="781"/>
      <c r="F2722" s="781"/>
      <c r="G2722" s="781"/>
      <c r="H2722" s="781"/>
      <c r="I2722" s="781"/>
      <c r="J2722" s="781"/>
      <c r="K2722" s="781"/>
      <c r="L2722" s="782"/>
    </row>
    <row r="2723" spans="2:12" ht="15">
      <c r="B2723" s="1037" t="s">
        <v>392</v>
      </c>
      <c r="C2723" s="1038"/>
      <c r="D2723" s="1038"/>
      <c r="E2723" s="1038"/>
      <c r="F2723" s="1038"/>
      <c r="G2723" s="1038"/>
      <c r="H2723" s="1038"/>
      <c r="I2723" s="1038"/>
      <c r="J2723" s="1039"/>
      <c r="K2723" s="1" t="s">
        <v>393</v>
      </c>
      <c r="L2723" s="645"/>
    </row>
    <row r="2724" spans="2:12" ht="27.6" customHeight="1">
      <c r="B2724" s="1040"/>
      <c r="C2724" s="1041"/>
      <c r="D2724" s="1041"/>
      <c r="E2724" s="1041"/>
      <c r="F2724" s="1041"/>
      <c r="G2724" s="1041"/>
      <c r="H2724" s="1041"/>
      <c r="I2724" s="1041"/>
      <c r="J2724" s="1042"/>
      <c r="K2724" s="1" t="s">
        <v>394</v>
      </c>
      <c r="L2724" s="633" t="s">
        <v>395</v>
      </c>
    </row>
    <row r="2725" spans="2:12" ht="26.45" customHeight="1">
      <c r="B2725" s="1043"/>
      <c r="C2725" s="1044"/>
      <c r="D2725" s="1044"/>
      <c r="E2725" s="1044"/>
      <c r="F2725" s="1044"/>
      <c r="G2725" s="1044"/>
      <c r="H2725" s="1044"/>
      <c r="I2725" s="1044"/>
      <c r="J2725" s="1045"/>
      <c r="K2725" s="4" t="s">
        <v>396</v>
      </c>
      <c r="L2725" s="633"/>
    </row>
    <row r="2726" spans="2:12" ht="15.6" customHeight="1">
      <c r="B2726" s="635"/>
      <c r="C2726" s="636"/>
      <c r="D2726" s="636"/>
      <c r="E2726" s="636"/>
      <c r="F2726" s="636"/>
      <c r="G2726" s="636"/>
      <c r="H2726" s="636"/>
      <c r="I2726" s="636"/>
      <c r="J2726" s="636"/>
      <c r="K2726" s="636"/>
      <c r="L2726" s="637"/>
    </row>
    <row r="2727" spans="2:12" ht="15.75">
      <c r="B2727" s="1046" t="s">
        <v>397</v>
      </c>
      <c r="C2727" s="1047"/>
      <c r="D2727" s="1047"/>
      <c r="E2727" s="1047"/>
      <c r="F2727" s="1047"/>
      <c r="G2727" s="1047"/>
      <c r="H2727" s="1047"/>
      <c r="I2727" s="1047"/>
      <c r="J2727" s="1047"/>
      <c r="K2727" s="1047"/>
      <c r="L2727" s="1048"/>
    </row>
    <row r="2728" spans="2:12" ht="15.75">
      <c r="B2728" s="1046"/>
      <c r="C2728" s="1047"/>
      <c r="D2728" s="1047"/>
      <c r="E2728" s="1047"/>
      <c r="F2728" s="1047"/>
      <c r="G2728" s="1047"/>
      <c r="H2728" s="1047"/>
      <c r="I2728" s="1047"/>
      <c r="J2728" s="1047"/>
      <c r="K2728" s="1047"/>
      <c r="L2728" s="1048"/>
    </row>
    <row r="2729" spans="2:12" s="6" customFormat="1" ht="31.15" customHeight="1">
      <c r="B2729" s="638" t="s">
        <v>398</v>
      </c>
      <c r="C2729" s="25">
        <v>1.1000000000000001</v>
      </c>
      <c r="D2729" s="1008" t="s">
        <v>1026</v>
      </c>
      <c r="E2729" s="1009"/>
      <c r="F2729" s="1009"/>
      <c r="G2729" s="1009"/>
      <c r="H2729" s="1009"/>
      <c r="I2729" s="1009"/>
      <c r="J2729" s="1009"/>
      <c r="K2729" s="1009"/>
      <c r="L2729" s="1010"/>
    </row>
    <row r="2730" spans="2:12" ht="15">
      <c r="B2730" s="1005"/>
      <c r="C2730" s="1006"/>
      <c r="D2730" s="1006"/>
      <c r="E2730" s="1006"/>
      <c r="F2730" s="1006"/>
      <c r="G2730" s="1006"/>
      <c r="H2730" s="1006"/>
      <c r="I2730" s="1006"/>
      <c r="J2730" s="1006"/>
      <c r="K2730" s="1006"/>
      <c r="L2730" s="1007"/>
    </row>
    <row r="2731" spans="2:12" ht="15.75">
      <c r="B2731" s="653" t="s">
        <v>399</v>
      </c>
      <c r="C2731" s="11">
        <f>+'PROPUESTA ECONOMICA(Proponente)'!C379</f>
        <v>1.1000000000000001</v>
      </c>
      <c r="D2731" s="12" t="str">
        <f>+VLOOKUP('MEMORIAS DE CANTIDADES'!C2731,'PROPUESTA ECONOMICA(Proponente)'!$C$379:$H$661,5,FALSE)</f>
        <v>Localización y replanteo topográfico</v>
      </c>
      <c r="E2731" s="13"/>
      <c r="F2731" s="12"/>
      <c r="G2731" s="12"/>
      <c r="H2731" s="12"/>
      <c r="I2731" s="11" t="s">
        <v>400</v>
      </c>
      <c r="J2731" s="12" t="str">
        <f>+VLOOKUP('MEMORIAS DE CANTIDADES'!C2731,'PROPUESTA ECONOMICA(Proponente)'!$C$379:$H$661,6,FALSE)</f>
        <v>m2</v>
      </c>
      <c r="K2731" s="11" t="s">
        <v>401</v>
      </c>
      <c r="L2731" s="643">
        <f>SUM(L2732:L2738)</f>
        <v>22860</v>
      </c>
    </row>
    <row r="2732" spans="2:12" ht="15.6" customHeight="1">
      <c r="B2732" s="644"/>
      <c r="C2732" s="16"/>
      <c r="D2732" s="15"/>
      <c r="E2732" s="15"/>
      <c r="F2732" s="15"/>
      <c r="G2732" s="15"/>
      <c r="H2732" s="15"/>
      <c r="I2732" s="15"/>
      <c r="J2732" s="15"/>
      <c r="K2732" s="17"/>
      <c r="L2732" s="645"/>
    </row>
    <row r="2733" spans="2:12" ht="47.25">
      <c r="B2733" s="733" t="s">
        <v>402</v>
      </c>
      <c r="C2733" s="18" t="s">
        <v>403</v>
      </c>
      <c r="D2733" s="18" t="s">
        <v>404</v>
      </c>
      <c r="E2733" s="18" t="s">
        <v>405</v>
      </c>
      <c r="F2733" s="18" t="s">
        <v>406</v>
      </c>
      <c r="G2733" s="18" t="s">
        <v>407</v>
      </c>
      <c r="H2733" s="5" t="s">
        <v>408</v>
      </c>
      <c r="I2733" s="18" t="s">
        <v>409</v>
      </c>
      <c r="J2733" s="5" t="s">
        <v>410</v>
      </c>
      <c r="K2733" s="5" t="s">
        <v>411</v>
      </c>
      <c r="L2733" s="647" t="s">
        <v>412</v>
      </c>
    </row>
    <row r="2734" spans="2:12" ht="15">
      <c r="B2734" s="648"/>
      <c r="C2734" s="19">
        <v>22860</v>
      </c>
      <c r="D2734" s="20"/>
      <c r="E2734" s="20"/>
      <c r="F2734" s="20"/>
      <c r="G2734" s="20"/>
      <c r="H2734" s="21"/>
      <c r="I2734" s="17"/>
      <c r="J2734" s="28"/>
      <c r="K2734" s="17"/>
      <c r="L2734" s="649">
        <f>PRODUCT(C2734:K2734)</f>
        <v>22860</v>
      </c>
    </row>
    <row r="2735" spans="2:12" ht="15">
      <c r="B2735" s="650"/>
      <c r="C2735" s="20"/>
      <c r="D2735" s="20"/>
      <c r="E2735" s="20"/>
      <c r="F2735" s="20"/>
      <c r="G2735" s="20"/>
      <c r="H2735" s="20"/>
      <c r="I2735" s="20"/>
      <c r="J2735" s="19"/>
      <c r="K2735" s="17"/>
      <c r="L2735" s="645"/>
    </row>
    <row r="2736" spans="2:12" ht="15">
      <c r="B2736" s="650"/>
      <c r="C2736" s="20"/>
      <c r="D2736" s="20"/>
      <c r="E2736" s="20"/>
      <c r="F2736" s="20"/>
      <c r="G2736" s="20"/>
      <c r="H2736" s="20"/>
      <c r="I2736" s="20"/>
      <c r="J2736" s="19"/>
      <c r="K2736" s="17"/>
      <c r="L2736" s="645"/>
    </row>
    <row r="2737" spans="2:12" ht="15">
      <c r="B2737" s="650"/>
      <c r="C2737" s="20"/>
      <c r="D2737" s="20"/>
      <c r="E2737" s="20"/>
      <c r="F2737" s="20"/>
      <c r="G2737" s="20"/>
      <c r="H2737" s="19"/>
      <c r="I2737" s="20"/>
      <c r="J2737" s="19"/>
      <c r="K2737" s="17"/>
      <c r="L2737" s="645"/>
    </row>
    <row r="2738" spans="2:12" ht="15">
      <c r="B2738" s="650"/>
      <c r="C2738" s="20"/>
      <c r="D2738" s="20"/>
      <c r="E2738" s="20"/>
      <c r="F2738" s="20"/>
      <c r="G2738" s="20"/>
      <c r="H2738" s="19"/>
      <c r="I2738" s="20"/>
      <c r="J2738" s="19"/>
      <c r="K2738" s="17"/>
      <c r="L2738" s="645"/>
    </row>
    <row r="2739" spans="2:12">
      <c r="B2739" s="651"/>
      <c r="L2739" s="652"/>
    </row>
    <row r="2740" spans="2:12" ht="15.75">
      <c r="B2740" s="638" t="s">
        <v>413</v>
      </c>
      <c r="C2740" s="8">
        <f>+'PROPUESTA ECONOMICA(Proponente)'!C22</f>
        <v>1.2</v>
      </c>
      <c r="D2740" s="1008" t="s">
        <v>1026</v>
      </c>
      <c r="E2740" s="1009"/>
      <c r="F2740" s="1009"/>
      <c r="G2740" s="1009"/>
      <c r="H2740" s="1009"/>
      <c r="I2740" s="1009"/>
      <c r="J2740" s="1009"/>
      <c r="K2740" s="1009"/>
      <c r="L2740" s="1010"/>
    </row>
    <row r="2741" spans="2:12" ht="15">
      <c r="B2741" s="1005"/>
      <c r="C2741" s="1006"/>
      <c r="D2741" s="1006"/>
      <c r="E2741" s="1006"/>
      <c r="F2741" s="1006"/>
      <c r="G2741" s="1006"/>
      <c r="H2741" s="1006"/>
      <c r="I2741" s="1006"/>
      <c r="J2741" s="1006"/>
      <c r="K2741" s="1006"/>
      <c r="L2741" s="1007"/>
    </row>
    <row r="2742" spans="2:12" ht="31.5">
      <c r="B2742" s="646" t="s">
        <v>399</v>
      </c>
      <c r="C2742" s="5">
        <v>1.2</v>
      </c>
      <c r="D2742" s="454" t="str">
        <f>+VLOOKUP('MEMORIAS DE CANTIDADES'!C2742,'PROPUESTA ECONOMICA(Proponente)'!$C$379:$H$661,5,FALSE)</f>
        <v>Cerramiento en Lamina de zinc h=2.0 m, incluye listones de madera 1" x 2" y concreto 3000 psi</v>
      </c>
      <c r="E2742" s="22"/>
      <c r="F2742" s="454"/>
      <c r="G2742" s="454"/>
      <c r="H2742" s="454"/>
      <c r="I2742" s="5" t="s">
        <v>400</v>
      </c>
      <c r="J2742" s="454" t="str">
        <f>+VLOOKUP('MEMORIAS DE CANTIDADES'!C2742,'PROPUESTA ECONOMICA(Proponente)'!$C$379:$H$661,6,FALSE)</f>
        <v>m</v>
      </c>
      <c r="K2742" s="5" t="s">
        <v>401</v>
      </c>
      <c r="L2742" s="783">
        <f>SUM(L2743:L2749)</f>
        <v>597</v>
      </c>
    </row>
    <row r="2743" spans="2:12" ht="15">
      <c r="B2743" s="644"/>
      <c r="C2743" s="16"/>
      <c r="D2743" s="15"/>
      <c r="E2743" s="15"/>
      <c r="F2743" s="15"/>
      <c r="G2743" s="15"/>
      <c r="H2743" s="15"/>
      <c r="I2743" s="15"/>
      <c r="J2743" s="15"/>
      <c r="K2743" s="17"/>
      <c r="L2743" s="645"/>
    </row>
    <row r="2744" spans="2:12" ht="47.25">
      <c r="B2744" s="646" t="s">
        <v>402</v>
      </c>
      <c r="C2744" s="18" t="s">
        <v>403</v>
      </c>
      <c r="D2744" s="18" t="s">
        <v>404</v>
      </c>
      <c r="E2744" s="18" t="s">
        <v>405</v>
      </c>
      <c r="F2744" s="18" t="s">
        <v>406</v>
      </c>
      <c r="G2744" s="18" t="s">
        <v>407</v>
      </c>
      <c r="H2744" s="5" t="s">
        <v>408</v>
      </c>
      <c r="I2744" s="18" t="s">
        <v>409</v>
      </c>
      <c r="J2744" s="5" t="s">
        <v>410</v>
      </c>
      <c r="K2744" s="5" t="s">
        <v>411</v>
      </c>
      <c r="L2744" s="647" t="s">
        <v>412</v>
      </c>
    </row>
    <row r="2745" spans="2:12" ht="15">
      <c r="B2745" s="648"/>
      <c r="C2745" s="19"/>
      <c r="D2745" s="20"/>
      <c r="E2745" s="20"/>
      <c r="F2745" s="20">
        <v>597</v>
      </c>
      <c r="G2745" s="20"/>
      <c r="H2745" s="21"/>
      <c r="I2745" s="17"/>
      <c r="J2745" s="28"/>
      <c r="K2745" s="17"/>
      <c r="L2745" s="649">
        <f>PRODUCT(C2745:K2745)</f>
        <v>597</v>
      </c>
    </row>
    <row r="2746" spans="2:12" ht="15">
      <c r="B2746" s="650"/>
      <c r="C2746" s="20"/>
      <c r="D2746" s="20"/>
      <c r="E2746" s="20"/>
      <c r="F2746" s="20"/>
      <c r="G2746" s="20"/>
      <c r="H2746" s="20"/>
      <c r="I2746" s="20"/>
      <c r="J2746" s="19"/>
      <c r="K2746" s="17"/>
      <c r="L2746" s="645"/>
    </row>
    <row r="2747" spans="2:12" ht="15">
      <c r="B2747" s="650"/>
      <c r="C2747" s="20"/>
      <c r="D2747" s="20"/>
      <c r="E2747" s="20"/>
      <c r="F2747" s="20"/>
      <c r="G2747" s="20"/>
      <c r="H2747" s="20"/>
      <c r="I2747" s="20"/>
      <c r="J2747" s="19"/>
      <c r="K2747" s="17"/>
      <c r="L2747" s="645"/>
    </row>
    <row r="2748" spans="2:12" ht="15">
      <c r="B2748" s="650"/>
      <c r="C2748" s="20"/>
      <c r="D2748" s="20"/>
      <c r="E2748" s="20"/>
      <c r="F2748" s="20"/>
      <c r="G2748" s="20"/>
      <c r="H2748" s="19"/>
      <c r="I2748" s="20"/>
      <c r="J2748" s="19"/>
      <c r="K2748" s="17"/>
      <c r="L2748" s="645"/>
    </row>
    <row r="2749" spans="2:12" ht="15">
      <c r="B2749" s="650"/>
      <c r="C2749" s="20"/>
      <c r="D2749" s="20"/>
      <c r="E2749" s="20"/>
      <c r="F2749" s="20"/>
      <c r="G2749" s="20"/>
      <c r="H2749" s="19"/>
      <c r="I2749" s="20"/>
      <c r="J2749" s="19"/>
      <c r="K2749" s="17"/>
      <c r="L2749" s="645"/>
    </row>
    <row r="2750" spans="2:12">
      <c r="B2750" s="651"/>
      <c r="L2750" s="652"/>
    </row>
    <row r="2751" spans="2:12" ht="15.75">
      <c r="B2751" s="638" t="s">
        <v>413</v>
      </c>
      <c r="C2751" s="8">
        <v>1.1000000000000001</v>
      </c>
      <c r="D2751" s="1008" t="s">
        <v>1026</v>
      </c>
      <c r="E2751" s="1009"/>
      <c r="F2751" s="1009"/>
      <c r="G2751" s="1009"/>
      <c r="H2751" s="1009"/>
      <c r="I2751" s="1009"/>
      <c r="J2751" s="1009"/>
      <c r="K2751" s="1009"/>
      <c r="L2751" s="1010"/>
    </row>
    <row r="2752" spans="2:12" ht="15.6" customHeight="1">
      <c r="B2752" s="1005"/>
      <c r="C2752" s="1006"/>
      <c r="D2752" s="1006"/>
      <c r="E2752" s="1006"/>
      <c r="F2752" s="1006"/>
      <c r="G2752" s="1006"/>
      <c r="H2752" s="1006"/>
      <c r="I2752" s="1006"/>
      <c r="J2752" s="1006"/>
      <c r="K2752" s="1006"/>
      <c r="L2752" s="1007"/>
    </row>
    <row r="2753" spans="2:12" ht="47.25">
      <c r="B2753" s="733" t="s">
        <v>399</v>
      </c>
      <c r="C2753" s="26">
        <f>+'PROPUESTA ECONOMICA(Proponente)'!C23</f>
        <v>1.3</v>
      </c>
      <c r="D2753" s="12" t="str">
        <f>+VLOOKUP('MEMORIAS DE CANTIDADES'!C2753,'PROPUESTA ECONOMICA(Proponente)'!$C$379:$H$661,5,FALSE)</f>
        <v>DESCAPOTE CON EQUIPO -Corte de maleza, descapote y nivelación del área Interior al campo de juego (INCLUYE CARGUE Y RETIRO)</v>
      </c>
      <c r="E2753" s="13"/>
      <c r="F2753" s="12"/>
      <c r="G2753" s="12"/>
      <c r="H2753" s="12"/>
      <c r="I2753" s="11" t="s">
        <v>400</v>
      </c>
      <c r="J2753" s="12" t="str">
        <f>+VLOOKUP('MEMORIAS DE CANTIDADES'!C2753,'PROPUESTA ECONOMICA(Proponente)'!$C$379:$H$661,6,FALSE)</f>
        <v>m3</v>
      </c>
      <c r="K2753" s="11" t="s">
        <v>401</v>
      </c>
      <c r="L2753" s="643">
        <f>SUM(L2754:L2760)</f>
        <v>2600</v>
      </c>
    </row>
    <row r="2754" spans="2:12" ht="15">
      <c r="B2754" s="644"/>
      <c r="C2754" s="16"/>
      <c r="D2754" s="15"/>
      <c r="E2754" s="15"/>
      <c r="F2754" s="15"/>
      <c r="G2754" s="15"/>
      <c r="H2754" s="15"/>
      <c r="I2754" s="15"/>
      <c r="J2754" s="15"/>
      <c r="K2754" s="17"/>
      <c r="L2754" s="645"/>
    </row>
    <row r="2755" spans="2:12" ht="47.25">
      <c r="B2755" s="646" t="s">
        <v>402</v>
      </c>
      <c r="C2755" s="18" t="s">
        <v>403</v>
      </c>
      <c r="D2755" s="18" t="s">
        <v>404</v>
      </c>
      <c r="E2755" s="18" t="s">
        <v>405</v>
      </c>
      <c r="F2755" s="18" t="s">
        <v>406</v>
      </c>
      <c r="G2755" s="18" t="s">
        <v>407</v>
      </c>
      <c r="H2755" s="5" t="s">
        <v>408</v>
      </c>
      <c r="I2755" s="18" t="s">
        <v>409</v>
      </c>
      <c r="J2755" s="5" t="s">
        <v>410</v>
      </c>
      <c r="K2755" s="5" t="s">
        <v>411</v>
      </c>
      <c r="L2755" s="647" t="s">
        <v>412</v>
      </c>
    </row>
    <row r="2756" spans="2:12" ht="15">
      <c r="B2756" s="648"/>
      <c r="C2756" s="654">
        <v>15045.954100000001</v>
      </c>
      <c r="D2756" s="20"/>
      <c r="E2756" s="20">
        <v>0.1</v>
      </c>
      <c r="F2756" s="20"/>
      <c r="G2756" s="20"/>
      <c r="H2756" s="21"/>
      <c r="I2756" s="17"/>
      <c r="J2756" s="28"/>
      <c r="K2756" s="17"/>
      <c r="L2756" s="649">
        <f>PRODUCT(C2756:K2756)</f>
        <v>1504.5954100000001</v>
      </c>
    </row>
    <row r="2757" spans="2:12" ht="15">
      <c r="B2757" s="650"/>
      <c r="C2757" s="20">
        <f>26000-C2756</f>
        <v>10954.045899999999</v>
      </c>
      <c r="D2757" s="20"/>
      <c r="E2757" s="20">
        <v>0.1</v>
      </c>
      <c r="F2757" s="20"/>
      <c r="G2757" s="20"/>
      <c r="H2757" s="20"/>
      <c r="I2757" s="20"/>
      <c r="J2757" s="19"/>
      <c r="K2757" s="17"/>
      <c r="L2757" s="649">
        <f>PRODUCT(C2757:K2757)</f>
        <v>1095.4045899999999</v>
      </c>
    </row>
    <row r="2758" spans="2:12" ht="15">
      <c r="B2758" s="650"/>
      <c r="C2758" s="20"/>
      <c r="D2758" s="20"/>
      <c r="E2758" s="20"/>
      <c r="F2758" s="20"/>
      <c r="G2758" s="20"/>
      <c r="H2758" s="20"/>
      <c r="I2758" s="20"/>
      <c r="J2758" s="19"/>
      <c r="K2758" s="17"/>
      <c r="L2758" s="645"/>
    </row>
    <row r="2759" spans="2:12" ht="15">
      <c r="B2759" s="650"/>
      <c r="C2759" s="20"/>
      <c r="D2759" s="20"/>
      <c r="E2759" s="20"/>
      <c r="F2759" s="20"/>
      <c r="G2759" s="20"/>
      <c r="H2759" s="19"/>
      <c r="I2759" s="20"/>
      <c r="J2759" s="19"/>
      <c r="K2759" s="17"/>
      <c r="L2759" s="645"/>
    </row>
    <row r="2760" spans="2:12" ht="15">
      <c r="B2760" s="650"/>
      <c r="C2760" s="20"/>
      <c r="D2760" s="20"/>
      <c r="E2760" s="20"/>
      <c r="F2760" s="20"/>
      <c r="G2760" s="20"/>
      <c r="H2760" s="19"/>
      <c r="I2760" s="20"/>
      <c r="J2760" s="19"/>
      <c r="K2760" s="17"/>
      <c r="L2760" s="645"/>
    </row>
    <row r="2761" spans="2:12">
      <c r="B2761" s="651"/>
      <c r="L2761" s="652"/>
    </row>
    <row r="2762" spans="2:12" ht="31.5">
      <c r="B2762" s="653" t="s">
        <v>399</v>
      </c>
      <c r="C2762" s="26">
        <f>+'PROPUESTA ECONOMICA(Proponente)'!C382</f>
        <v>1.4</v>
      </c>
      <c r="D2762" s="12" t="str">
        <f>+VLOOKUP('MEMORIAS DE CANTIDADES'!C2762,'PROPUESTA ECONOMICA(Proponente)'!$C$379:$H$661,5,FALSE)</f>
        <v>Demolición de anden (Incluye retiro al botadero autorizado)</v>
      </c>
      <c r="E2762" s="13"/>
      <c r="F2762" s="12"/>
      <c r="G2762" s="12"/>
      <c r="H2762" s="12"/>
      <c r="I2762" s="11" t="s">
        <v>400</v>
      </c>
      <c r="J2762" s="12" t="str">
        <f>+VLOOKUP('MEMORIAS DE CANTIDADES'!C2762,'PROPUESTA ECONOMICA(Proponente)'!$C$379:$H$661,6,FALSE)</f>
        <v>m2</v>
      </c>
      <c r="K2762" s="11" t="s">
        <v>401</v>
      </c>
      <c r="L2762" s="643">
        <f>SUM(L2763:L2769)</f>
        <v>1051</v>
      </c>
    </row>
    <row r="2763" spans="2:12" ht="15">
      <c r="B2763" s="644"/>
      <c r="C2763" s="16"/>
      <c r="D2763" s="15"/>
      <c r="E2763" s="15"/>
      <c r="F2763" s="15"/>
      <c r="G2763" s="15"/>
      <c r="H2763" s="15"/>
      <c r="I2763" s="15"/>
      <c r="J2763" s="15"/>
      <c r="K2763" s="17"/>
      <c r="L2763" s="645"/>
    </row>
    <row r="2764" spans="2:12" ht="47.25">
      <c r="B2764" s="646" t="s">
        <v>402</v>
      </c>
      <c r="C2764" s="18" t="s">
        <v>403</v>
      </c>
      <c r="D2764" s="18" t="s">
        <v>404</v>
      </c>
      <c r="E2764" s="18" t="s">
        <v>405</v>
      </c>
      <c r="F2764" s="18" t="s">
        <v>406</v>
      </c>
      <c r="G2764" s="18" t="s">
        <v>407</v>
      </c>
      <c r="H2764" s="5" t="s">
        <v>408</v>
      </c>
      <c r="I2764" s="18" t="s">
        <v>409</v>
      </c>
      <c r="J2764" s="5" t="s">
        <v>410</v>
      </c>
      <c r="K2764" s="5" t="s">
        <v>411</v>
      </c>
      <c r="L2764" s="647" t="s">
        <v>412</v>
      </c>
    </row>
    <row r="2765" spans="2:12" ht="15">
      <c r="B2765" s="784" t="s">
        <v>415</v>
      </c>
      <c r="C2765" s="785">
        <v>731</v>
      </c>
      <c r="D2765" s="20"/>
      <c r="E2765" s="20"/>
      <c r="F2765" s="20"/>
      <c r="G2765" s="20"/>
      <c r="H2765" s="21"/>
      <c r="I2765" s="17"/>
      <c r="J2765" s="28"/>
      <c r="K2765" s="17"/>
      <c r="L2765" s="649">
        <f>PRODUCT(C2765:K2765)</f>
        <v>731</v>
      </c>
    </row>
    <row r="2766" spans="2:12" ht="15">
      <c r="B2766" s="786" t="s">
        <v>942</v>
      </c>
      <c r="C2766" s="20">
        <v>320</v>
      </c>
      <c r="D2766" s="20"/>
      <c r="E2766" s="20"/>
      <c r="F2766" s="20"/>
      <c r="G2766" s="20"/>
      <c r="H2766" s="20"/>
      <c r="I2766" s="20"/>
      <c r="J2766" s="19"/>
      <c r="K2766" s="17"/>
      <c r="L2766" s="649">
        <f>PRODUCT(C2766:K2766)</f>
        <v>320</v>
      </c>
    </row>
    <row r="2767" spans="2:12" ht="15">
      <c r="B2767" s="650"/>
      <c r="C2767" s="20"/>
      <c r="D2767" s="20"/>
      <c r="E2767" s="20"/>
      <c r="F2767" s="20"/>
      <c r="G2767" s="20"/>
      <c r="H2767" s="20"/>
      <c r="I2767" s="20"/>
      <c r="J2767" s="19"/>
      <c r="K2767" s="17"/>
      <c r="L2767" s="645"/>
    </row>
    <row r="2768" spans="2:12" ht="15">
      <c r="B2768" s="650"/>
      <c r="C2768" s="20"/>
      <c r="D2768" s="20"/>
      <c r="E2768" s="20"/>
      <c r="F2768" s="20"/>
      <c r="G2768" s="20"/>
      <c r="H2768" s="19"/>
      <c r="I2768" s="20"/>
      <c r="J2768" s="19"/>
      <c r="K2768" s="17"/>
      <c r="L2768" s="645"/>
    </row>
    <row r="2769" spans="2:12" ht="15">
      <c r="B2769" s="650"/>
      <c r="C2769" s="20"/>
      <c r="D2769" s="20"/>
      <c r="E2769" s="20"/>
      <c r="F2769" s="20"/>
      <c r="G2769" s="20"/>
      <c r="H2769" s="19"/>
      <c r="I2769" s="20"/>
      <c r="J2769" s="19"/>
      <c r="K2769" s="17"/>
      <c r="L2769" s="645"/>
    </row>
    <row r="2770" spans="2:12" ht="15.75">
      <c r="B2770" s="981" t="s">
        <v>414</v>
      </c>
      <c r="C2770" s="982"/>
      <c r="D2770" s="982"/>
      <c r="E2770" s="982"/>
      <c r="F2770" s="982"/>
      <c r="G2770" s="982"/>
      <c r="H2770" s="982"/>
      <c r="I2770" s="982"/>
      <c r="J2770" s="982"/>
      <c r="K2770" s="982"/>
      <c r="L2770" s="983"/>
    </row>
    <row r="2771" spans="2:12">
      <c r="B2771" s="651"/>
      <c r="L2771" s="652"/>
    </row>
    <row r="2772" spans="2:12" ht="15.75">
      <c r="B2772" s="638" t="s">
        <v>413</v>
      </c>
      <c r="C2772" s="8">
        <v>1.1000000000000001</v>
      </c>
      <c r="D2772" s="1008" t="s">
        <v>1026</v>
      </c>
      <c r="E2772" s="1009"/>
      <c r="F2772" s="1009"/>
      <c r="G2772" s="1009"/>
      <c r="H2772" s="1009"/>
      <c r="I2772" s="1009"/>
      <c r="J2772" s="1009"/>
      <c r="K2772" s="1009"/>
      <c r="L2772" s="1010"/>
    </row>
    <row r="2773" spans="2:12" ht="15">
      <c r="B2773" s="1005"/>
      <c r="C2773" s="1006"/>
      <c r="D2773" s="1006"/>
      <c r="E2773" s="1006"/>
      <c r="F2773" s="1006"/>
      <c r="G2773" s="1006"/>
      <c r="H2773" s="1006"/>
      <c r="I2773" s="1006"/>
      <c r="J2773" s="1006"/>
      <c r="K2773" s="1006"/>
      <c r="L2773" s="1007"/>
    </row>
    <row r="2774" spans="2:12" ht="15.6" customHeight="1">
      <c r="B2774" s="653" t="s">
        <v>399</v>
      </c>
      <c r="C2774" s="26">
        <f>+'PROPUESTA ECONOMICA(Proponente)'!C383</f>
        <v>1.5</v>
      </c>
      <c r="D2774" s="12" t="str">
        <f>+VLOOKUP('MEMORIAS DE CANTIDADES'!C2774,'PROPUESTA ECONOMICA(Proponente)'!$C$379:$H$661,5,FALSE)</f>
        <v>Demolición de plantillas y Senderos internos existentes (Incluye retiro al botadero autorizado)</v>
      </c>
      <c r="E2774" s="13"/>
      <c r="F2774" s="12"/>
      <c r="G2774" s="12"/>
      <c r="H2774" s="12"/>
      <c r="I2774" s="11" t="s">
        <v>400</v>
      </c>
      <c r="J2774" s="12" t="str">
        <f>+VLOOKUP('MEMORIAS DE CANTIDADES'!C2774,'PROPUESTA ECONOMICA(Proponente)'!$C$379:$H$661,6,FALSE)</f>
        <v>m2</v>
      </c>
      <c r="K2774" s="11" t="s">
        <v>401</v>
      </c>
      <c r="L2774" s="643">
        <f>SUM(L2775:L2782)</f>
        <v>4</v>
      </c>
    </row>
    <row r="2775" spans="2:12" ht="15">
      <c r="B2775" s="644"/>
      <c r="C2775" s="16"/>
      <c r="D2775" s="15"/>
      <c r="E2775" s="15"/>
      <c r="F2775" s="15"/>
      <c r="G2775" s="15"/>
      <c r="H2775" s="15"/>
      <c r="I2775" s="15"/>
      <c r="J2775" s="15"/>
      <c r="K2775" s="17"/>
      <c r="L2775" s="645"/>
    </row>
    <row r="2776" spans="2:12" ht="47.25">
      <c r="B2776" s="642" t="s">
        <v>402</v>
      </c>
      <c r="C2776" s="18" t="s">
        <v>403</v>
      </c>
      <c r="D2776" s="18" t="s">
        <v>404</v>
      </c>
      <c r="E2776" s="18" t="s">
        <v>405</v>
      </c>
      <c r="F2776" s="18" t="s">
        <v>406</v>
      </c>
      <c r="G2776" s="18" t="s">
        <v>407</v>
      </c>
      <c r="H2776" s="5" t="s">
        <v>408</v>
      </c>
      <c r="I2776" s="18" t="s">
        <v>409</v>
      </c>
      <c r="J2776" s="5" t="s">
        <v>410</v>
      </c>
      <c r="K2776" s="5" t="s">
        <v>411</v>
      </c>
      <c r="L2776" s="647" t="s">
        <v>412</v>
      </c>
    </row>
    <row r="2777" spans="2:12" ht="15">
      <c r="B2777" s="648" t="s">
        <v>416</v>
      </c>
      <c r="C2777" s="763">
        <v>4</v>
      </c>
      <c r="D2777" s="20"/>
      <c r="E2777" s="20"/>
      <c r="F2777" s="20"/>
      <c r="G2777" s="20"/>
      <c r="H2777" s="21"/>
      <c r="I2777" s="17"/>
      <c r="J2777" s="28"/>
      <c r="K2777" s="17"/>
      <c r="L2777" s="649">
        <f>PRODUCT(C2777:K2777)</f>
        <v>4</v>
      </c>
    </row>
    <row r="2778" spans="2:12" ht="15">
      <c r="B2778" s="650"/>
      <c r="C2778" s="20"/>
      <c r="D2778" s="20"/>
      <c r="E2778" s="20"/>
      <c r="F2778" s="20"/>
      <c r="G2778" s="20"/>
      <c r="H2778" s="20"/>
      <c r="I2778" s="20"/>
      <c r="J2778" s="19"/>
      <c r="K2778" s="17"/>
      <c r="L2778" s="645"/>
    </row>
    <row r="2779" spans="2:12" ht="15">
      <c r="B2779" s="650"/>
      <c r="C2779" s="20"/>
      <c r="D2779" s="20"/>
      <c r="E2779" s="20"/>
      <c r="F2779" s="20"/>
      <c r="G2779" s="20"/>
      <c r="H2779" s="20"/>
      <c r="I2779" s="20"/>
      <c r="J2779" s="19"/>
      <c r="K2779" s="17"/>
      <c r="L2779" s="645"/>
    </row>
    <row r="2780" spans="2:12" ht="15">
      <c r="B2780" s="650"/>
      <c r="C2780" s="20"/>
      <c r="D2780" s="20"/>
      <c r="E2780" s="20"/>
      <c r="F2780" s="20"/>
      <c r="G2780" s="20"/>
      <c r="H2780" s="19"/>
      <c r="I2780" s="20"/>
      <c r="J2780" s="19"/>
      <c r="K2780" s="17"/>
      <c r="L2780" s="645"/>
    </row>
    <row r="2781" spans="2:12" ht="15">
      <c r="B2781" s="650"/>
      <c r="C2781" s="20"/>
      <c r="D2781" s="20"/>
      <c r="E2781" s="20"/>
      <c r="F2781" s="20"/>
      <c r="G2781" s="20"/>
      <c r="H2781" s="19"/>
      <c r="I2781" s="20"/>
      <c r="J2781" s="19"/>
      <c r="K2781" s="17"/>
      <c r="L2781" s="645"/>
    </row>
    <row r="2782" spans="2:12" ht="15.6" customHeight="1">
      <c r="B2782" s="981" t="s">
        <v>414</v>
      </c>
      <c r="C2782" s="982"/>
      <c r="D2782" s="982"/>
      <c r="E2782" s="982"/>
      <c r="F2782" s="982"/>
      <c r="G2782" s="982"/>
      <c r="H2782" s="982"/>
      <c r="I2782" s="982"/>
      <c r="J2782" s="982"/>
      <c r="K2782" s="982"/>
      <c r="L2782" s="983"/>
    </row>
    <row r="2783" spans="2:12">
      <c r="B2783" s="651"/>
      <c r="L2783" s="652"/>
    </row>
    <row r="2784" spans="2:12">
      <c r="B2784" s="651"/>
      <c r="L2784" s="652"/>
    </row>
    <row r="2785" spans="2:12" ht="15.75">
      <c r="B2785" s="638" t="s">
        <v>413</v>
      </c>
      <c r="C2785" s="8">
        <v>1.1000000000000001</v>
      </c>
      <c r="D2785" s="1008" t="s">
        <v>1026</v>
      </c>
      <c r="E2785" s="1009"/>
      <c r="F2785" s="1009"/>
      <c r="G2785" s="1009"/>
      <c r="H2785" s="1009"/>
      <c r="I2785" s="1009"/>
      <c r="J2785" s="1009"/>
      <c r="K2785" s="1009"/>
      <c r="L2785" s="1010"/>
    </row>
    <row r="2786" spans="2:12" ht="15">
      <c r="B2786" s="1005"/>
      <c r="C2786" s="1006"/>
      <c r="D2786" s="1006"/>
      <c r="E2786" s="1006"/>
      <c r="F2786" s="1006"/>
      <c r="G2786" s="1006"/>
      <c r="H2786" s="1006"/>
      <c r="I2786" s="1006"/>
      <c r="J2786" s="1006"/>
      <c r="K2786" s="1006"/>
      <c r="L2786" s="1007"/>
    </row>
    <row r="2787" spans="2:12" ht="15.6" customHeight="1">
      <c r="B2787" s="653" t="s">
        <v>399</v>
      </c>
      <c r="C2787" s="26">
        <f>+'PROPUESTA ECONOMICA(Proponente)'!C384</f>
        <v>1.6</v>
      </c>
      <c r="D2787" s="12" t="str">
        <f>+VLOOKUP('MEMORIAS DE CANTIDADES'!C2787,'PROPUESTA ECONOMICA(Proponente)'!$C$379:$H$661,5,FALSE)</f>
        <v>Corte de arboles ( 10 m&lt;H&lt;20 m. incluye desenraice, retiro y disposición final)</v>
      </c>
      <c r="E2787" s="13"/>
      <c r="F2787" s="12"/>
      <c r="G2787" s="12"/>
      <c r="H2787" s="12"/>
      <c r="I2787" s="11" t="s">
        <v>400</v>
      </c>
      <c r="J2787" s="12" t="str">
        <f>+VLOOKUP('MEMORIAS DE CANTIDADES'!C2787,'PROPUESTA ECONOMICA(Proponente)'!$C$379:$H$661,6,FALSE)</f>
        <v>Und</v>
      </c>
      <c r="K2787" s="11" t="s">
        <v>401</v>
      </c>
      <c r="L2787" s="643">
        <f>SUM(L2788:L2795)</f>
        <v>50</v>
      </c>
    </row>
    <row r="2788" spans="2:12" ht="15">
      <c r="B2788" s="644"/>
      <c r="C2788" s="16"/>
      <c r="D2788" s="15"/>
      <c r="E2788" s="15"/>
      <c r="F2788" s="15"/>
      <c r="G2788" s="15"/>
      <c r="H2788" s="15"/>
      <c r="I2788" s="15"/>
      <c r="J2788" s="15"/>
      <c r="K2788" s="17"/>
      <c r="L2788" s="645"/>
    </row>
    <row r="2789" spans="2:12" ht="15.6" customHeight="1">
      <c r="B2789" s="646" t="s">
        <v>402</v>
      </c>
      <c r="C2789" s="18" t="s">
        <v>403</v>
      </c>
      <c r="D2789" s="18" t="s">
        <v>404</v>
      </c>
      <c r="E2789" s="18" t="s">
        <v>405</v>
      </c>
      <c r="F2789" s="18" t="s">
        <v>406</v>
      </c>
      <c r="G2789" s="18" t="s">
        <v>407</v>
      </c>
      <c r="H2789" s="5" t="s">
        <v>408</v>
      </c>
      <c r="I2789" s="18" t="s">
        <v>409</v>
      </c>
      <c r="J2789" s="5" t="s">
        <v>410</v>
      </c>
      <c r="K2789" s="5" t="s">
        <v>411</v>
      </c>
      <c r="L2789" s="647" t="s">
        <v>412</v>
      </c>
    </row>
    <row r="2790" spans="2:12" ht="15">
      <c r="B2790" s="787" t="s">
        <v>417</v>
      </c>
      <c r="C2790" s="654"/>
      <c r="D2790" s="20"/>
      <c r="E2790" s="20"/>
      <c r="F2790" s="20"/>
      <c r="G2790" s="20"/>
      <c r="H2790" s="21"/>
      <c r="I2790" s="17">
        <v>50</v>
      </c>
      <c r="J2790" s="28"/>
      <c r="K2790" s="17"/>
      <c r="L2790" s="649">
        <f>PRODUCT(C2790:K2790)</f>
        <v>50</v>
      </c>
    </row>
    <row r="2791" spans="2:12" ht="31.15" customHeight="1">
      <c r="B2791" s="650"/>
      <c r="C2791" s="20"/>
      <c r="D2791" s="20"/>
      <c r="E2791" s="20"/>
      <c r="F2791" s="20"/>
      <c r="G2791" s="20"/>
      <c r="H2791" s="20"/>
      <c r="I2791" s="20"/>
      <c r="J2791" s="19"/>
      <c r="K2791" s="17"/>
      <c r="L2791" s="645"/>
    </row>
    <row r="2792" spans="2:12" ht="15">
      <c r="B2792" s="650"/>
      <c r="C2792" s="20"/>
      <c r="D2792" s="20"/>
      <c r="E2792" s="20"/>
      <c r="F2792" s="20"/>
      <c r="G2792" s="20"/>
      <c r="H2792" s="20"/>
      <c r="I2792" s="20"/>
      <c r="J2792" s="19"/>
      <c r="K2792" s="17"/>
      <c r="L2792" s="645"/>
    </row>
    <row r="2793" spans="2:12" ht="15">
      <c r="B2793" s="650"/>
      <c r="C2793" s="20"/>
      <c r="D2793" s="20"/>
      <c r="E2793" s="20"/>
      <c r="F2793" s="20"/>
      <c r="G2793" s="20"/>
      <c r="H2793" s="19"/>
      <c r="I2793" s="20"/>
      <c r="J2793" s="19"/>
      <c r="K2793" s="17"/>
      <c r="L2793" s="645"/>
    </row>
    <row r="2794" spans="2:12" ht="15">
      <c r="B2794" s="650"/>
      <c r="C2794" s="20"/>
      <c r="D2794" s="20"/>
      <c r="E2794" s="20"/>
      <c r="F2794" s="20"/>
      <c r="G2794" s="20"/>
      <c r="H2794" s="19"/>
      <c r="I2794" s="20"/>
      <c r="J2794" s="19"/>
      <c r="K2794" s="17"/>
      <c r="L2794" s="645"/>
    </row>
    <row r="2795" spans="2:12" ht="15.6" customHeight="1">
      <c r="B2795" s="981" t="s">
        <v>414</v>
      </c>
      <c r="C2795" s="982"/>
      <c r="D2795" s="982"/>
      <c r="E2795" s="982"/>
      <c r="F2795" s="982"/>
      <c r="G2795" s="982"/>
      <c r="H2795" s="982"/>
      <c r="I2795" s="982"/>
      <c r="J2795" s="982"/>
      <c r="K2795" s="982"/>
      <c r="L2795" s="983"/>
    </row>
    <row r="2796" spans="2:12">
      <c r="B2796" s="651"/>
      <c r="L2796" s="652"/>
    </row>
    <row r="2797" spans="2:12" ht="15.75">
      <c r="B2797" s="638" t="s">
        <v>413</v>
      </c>
      <c r="C2797" s="8">
        <v>1.1000000000000001</v>
      </c>
      <c r="D2797" s="1008" t="s">
        <v>1026</v>
      </c>
      <c r="E2797" s="1009"/>
      <c r="F2797" s="1009"/>
      <c r="G2797" s="1009"/>
      <c r="H2797" s="1009"/>
      <c r="I2797" s="1009"/>
      <c r="J2797" s="1009"/>
      <c r="K2797" s="1009"/>
      <c r="L2797" s="1010"/>
    </row>
    <row r="2798" spans="2:12" ht="15">
      <c r="B2798" s="1005"/>
      <c r="C2798" s="1006"/>
      <c r="D2798" s="1006"/>
      <c r="E2798" s="1006"/>
      <c r="F2798" s="1006"/>
      <c r="G2798" s="1006"/>
      <c r="H2798" s="1006"/>
      <c r="I2798" s="1006"/>
      <c r="J2798" s="1006"/>
      <c r="K2798" s="1006"/>
      <c r="L2798" s="1007"/>
    </row>
    <row r="2799" spans="2:12" ht="15.6" customHeight="1">
      <c r="B2799" s="653" t="s">
        <v>399</v>
      </c>
      <c r="C2799" s="29">
        <f>+'PROPUESTA ECONOMICA(Proponente)'!C385</f>
        <v>1.7</v>
      </c>
      <c r="D2799" s="12" t="str">
        <f>+VLOOKUP('MEMORIAS DE CANTIDADES'!C2799,'PROPUESTA ECONOMICA(Proponente)'!$C$379:$H$661,5,FALSE)</f>
        <v>Demolición de estructuras en concreto reforzado  (Incluye retiro al botadero autorizado)</v>
      </c>
      <c r="E2799" s="13"/>
      <c r="F2799" s="12"/>
      <c r="G2799" s="12"/>
      <c r="H2799" s="12"/>
      <c r="I2799" s="11" t="s">
        <v>400</v>
      </c>
      <c r="J2799" s="12" t="str">
        <f>+VLOOKUP('MEMORIAS DE CANTIDADES'!C2799,'PROPUESTA ECONOMICA(Proponente)'!$C$379:$H$661,6,FALSE)</f>
        <v>m3</v>
      </c>
      <c r="K2799" s="11" t="s">
        <v>401</v>
      </c>
      <c r="L2799" s="643">
        <f>SUM(L2800:L2809)</f>
        <v>325.78000000000003</v>
      </c>
    </row>
    <row r="2800" spans="2:12" ht="15">
      <c r="B2800" s="644"/>
      <c r="C2800" s="16"/>
      <c r="D2800" s="15"/>
      <c r="E2800" s="15"/>
      <c r="F2800" s="15"/>
      <c r="G2800" s="15"/>
      <c r="H2800" s="15"/>
      <c r="I2800" s="15"/>
      <c r="J2800" s="15"/>
      <c r="K2800" s="17"/>
      <c r="L2800" s="645"/>
    </row>
    <row r="2801" spans="2:12" ht="47.25">
      <c r="B2801" s="646" t="s">
        <v>402</v>
      </c>
      <c r="C2801" s="18" t="s">
        <v>403</v>
      </c>
      <c r="D2801" s="18" t="s">
        <v>404</v>
      </c>
      <c r="E2801" s="18" t="s">
        <v>405</v>
      </c>
      <c r="F2801" s="18" t="s">
        <v>406</v>
      </c>
      <c r="G2801" s="18" t="s">
        <v>407</v>
      </c>
      <c r="H2801" s="5" t="s">
        <v>408</v>
      </c>
      <c r="I2801" s="18" t="s">
        <v>409</v>
      </c>
      <c r="J2801" s="5" t="s">
        <v>410</v>
      </c>
      <c r="K2801" s="5" t="s">
        <v>411</v>
      </c>
      <c r="L2801" s="647" t="s">
        <v>412</v>
      </c>
    </row>
    <row r="2802" spans="2:12" ht="15">
      <c r="B2802" s="787" t="s">
        <v>418</v>
      </c>
      <c r="C2802" s="654"/>
      <c r="D2802" s="20">
        <v>1.8</v>
      </c>
      <c r="E2802" s="20">
        <v>0.2</v>
      </c>
      <c r="F2802" s="20">
        <v>136.5</v>
      </c>
      <c r="G2802" s="20"/>
      <c r="H2802" s="21"/>
      <c r="I2802" s="17"/>
      <c r="J2802" s="28"/>
      <c r="K2802" s="17"/>
      <c r="L2802" s="649">
        <f>PRODUCT(C2802:K2802)</f>
        <v>49.140000000000008</v>
      </c>
    </row>
    <row r="2803" spans="2:12" ht="15">
      <c r="B2803" s="650" t="s">
        <v>419</v>
      </c>
      <c r="C2803" s="20"/>
      <c r="D2803" s="20">
        <v>0.2</v>
      </c>
      <c r="E2803" s="20">
        <v>1</v>
      </c>
      <c r="F2803" s="20">
        <v>136.5</v>
      </c>
      <c r="G2803" s="20"/>
      <c r="H2803" s="20"/>
      <c r="I2803" s="20">
        <v>2</v>
      </c>
      <c r="J2803" s="19"/>
      <c r="K2803" s="17"/>
      <c r="L2803" s="649">
        <f>PRODUCT(C2803:K2803)</f>
        <v>54.6</v>
      </c>
    </row>
    <row r="2804" spans="2:12" ht="15">
      <c r="B2804" s="650" t="s">
        <v>420</v>
      </c>
      <c r="C2804" s="20"/>
      <c r="D2804" s="20">
        <v>1.8</v>
      </c>
      <c r="E2804" s="20">
        <v>0.2</v>
      </c>
      <c r="F2804" s="20">
        <v>136.5</v>
      </c>
      <c r="G2804" s="20"/>
      <c r="H2804" s="20"/>
      <c r="I2804" s="20"/>
      <c r="J2804" s="19"/>
      <c r="K2804" s="17"/>
      <c r="L2804" s="649">
        <f>PRODUCT(C2804:K2804)</f>
        <v>49.140000000000008</v>
      </c>
    </row>
    <row r="2805" spans="2:12" ht="15">
      <c r="B2805" s="650"/>
      <c r="C2805" s="20"/>
      <c r="D2805" s="20"/>
      <c r="E2805" s="20"/>
      <c r="F2805" s="20"/>
      <c r="G2805" s="20"/>
      <c r="H2805" s="19"/>
      <c r="I2805" s="20">
        <v>2</v>
      </c>
      <c r="J2805" s="19"/>
      <c r="K2805" s="17"/>
      <c r="L2805" s="649"/>
    </row>
    <row r="2806" spans="2:12" ht="15">
      <c r="B2806" s="650" t="s">
        <v>973</v>
      </c>
      <c r="C2806" s="20"/>
      <c r="D2806" s="20">
        <v>4.5</v>
      </c>
      <c r="E2806" s="19">
        <v>1.8</v>
      </c>
      <c r="F2806" s="20">
        <v>4.5</v>
      </c>
      <c r="G2806" s="20"/>
      <c r="H2806" s="19"/>
      <c r="I2806" s="20">
        <v>2</v>
      </c>
      <c r="J2806" s="19"/>
      <c r="K2806" s="17"/>
      <c r="L2806" s="649">
        <f>PRODUCT(C2806:K2806)</f>
        <v>72.899999999999991</v>
      </c>
    </row>
    <row r="2807" spans="2:12" ht="15">
      <c r="B2807" s="650" t="s">
        <v>999</v>
      </c>
      <c r="C2807" s="20"/>
      <c r="D2807" s="20">
        <v>4</v>
      </c>
      <c r="E2807" s="19"/>
      <c r="F2807" s="20">
        <v>25</v>
      </c>
      <c r="G2807" s="20"/>
      <c r="H2807" s="19"/>
      <c r="I2807" s="20"/>
      <c r="J2807" s="19"/>
      <c r="K2807" s="17"/>
      <c r="L2807" s="649">
        <f>PRODUCT(C2807:K2807)</f>
        <v>100</v>
      </c>
    </row>
    <row r="2808" spans="2:12" ht="15">
      <c r="B2808" s="650"/>
      <c r="C2808" s="20"/>
      <c r="D2808" s="20"/>
      <c r="E2808" s="20"/>
      <c r="F2808" s="20"/>
      <c r="G2808" s="20"/>
      <c r="H2808" s="19"/>
      <c r="I2808" s="20"/>
      <c r="J2808" s="19"/>
      <c r="K2808" s="17"/>
      <c r="L2808" s="645"/>
    </row>
    <row r="2809" spans="2:12">
      <c r="B2809" s="651"/>
      <c r="L2809" s="652"/>
    </row>
    <row r="2810" spans="2:12" ht="15.75">
      <c r="B2810" s="638" t="s">
        <v>413</v>
      </c>
      <c r="C2810" s="8">
        <v>1.1000000000000001</v>
      </c>
      <c r="D2810" s="1008" t="s">
        <v>1026</v>
      </c>
      <c r="E2810" s="1009"/>
      <c r="F2810" s="1009"/>
      <c r="G2810" s="1009"/>
      <c r="H2810" s="1009"/>
      <c r="I2810" s="1009"/>
      <c r="J2810" s="1009"/>
      <c r="K2810" s="1009"/>
      <c r="L2810" s="1010"/>
    </row>
    <row r="2811" spans="2:12" ht="15">
      <c r="B2811" s="1005"/>
      <c r="C2811" s="1006"/>
      <c r="D2811" s="1006"/>
      <c r="E2811" s="1006"/>
      <c r="F2811" s="1006"/>
      <c r="G2811" s="1006"/>
      <c r="H2811" s="1006"/>
      <c r="I2811" s="1006"/>
      <c r="J2811" s="1006"/>
      <c r="K2811" s="1006"/>
      <c r="L2811" s="1007"/>
    </row>
    <row r="2812" spans="2:12" ht="15.6" customHeight="1">
      <c r="B2812" s="653" t="s">
        <v>399</v>
      </c>
      <c r="C2812" s="29">
        <f>+'PROPUESTA ECONOMICA(Proponente)'!C386</f>
        <v>1.8</v>
      </c>
      <c r="D2812" s="12" t="str">
        <f>+VLOOKUP('MEMORIAS DE CANTIDADES'!C2812,'PROPUESTA ECONOMICA(Proponente)'!$C$379:$H$661,5,FALSE)</f>
        <v>Demolición de concreto ciclópeo (Incluye retiro al botadero autorizado)</v>
      </c>
      <c r="E2812" s="13"/>
      <c r="F2812" s="12"/>
      <c r="G2812" s="12"/>
      <c r="H2812" s="12"/>
      <c r="I2812" s="11" t="s">
        <v>400</v>
      </c>
      <c r="J2812" s="12" t="str">
        <f>+VLOOKUP('MEMORIAS DE CANTIDADES'!C2812,'PROPUESTA ECONOMICA(Proponente)'!$C$379:$H$661,6,FALSE)</f>
        <v>m3</v>
      </c>
      <c r="K2812" s="11" t="s">
        <v>401</v>
      </c>
      <c r="L2812" s="643">
        <f>SUM(L2813:L2820)</f>
        <v>355.125</v>
      </c>
    </row>
    <row r="2813" spans="2:12" ht="15">
      <c r="B2813" s="644"/>
      <c r="C2813" s="16"/>
      <c r="D2813" s="15"/>
      <c r="E2813" s="15"/>
      <c r="F2813" s="15"/>
      <c r="G2813" s="15"/>
      <c r="H2813" s="15"/>
      <c r="I2813" s="15"/>
      <c r="J2813" s="15"/>
      <c r="K2813" s="17"/>
      <c r="L2813" s="645"/>
    </row>
    <row r="2814" spans="2:12" ht="47.25">
      <c r="B2814" s="646" t="s">
        <v>402</v>
      </c>
      <c r="C2814" s="18" t="s">
        <v>403</v>
      </c>
      <c r="D2814" s="18" t="s">
        <v>404</v>
      </c>
      <c r="E2814" s="18" t="s">
        <v>405</v>
      </c>
      <c r="F2814" s="18" t="s">
        <v>406</v>
      </c>
      <c r="G2814" s="18" t="s">
        <v>407</v>
      </c>
      <c r="H2814" s="5" t="s">
        <v>408</v>
      </c>
      <c r="I2814" s="18" t="s">
        <v>409</v>
      </c>
      <c r="J2814" s="5" t="s">
        <v>410</v>
      </c>
      <c r="K2814" s="5" t="s">
        <v>411</v>
      </c>
      <c r="L2814" s="647" t="s">
        <v>412</v>
      </c>
    </row>
    <row r="2815" spans="2:12" ht="15">
      <c r="B2815" s="787" t="s">
        <v>421</v>
      </c>
      <c r="C2815" s="763">
        <v>1420.5</v>
      </c>
      <c r="D2815" s="20"/>
      <c r="E2815" s="20">
        <v>0.25</v>
      </c>
      <c r="F2815" s="20"/>
      <c r="G2815" s="20"/>
      <c r="H2815" s="21"/>
      <c r="I2815" s="17"/>
      <c r="J2815" s="28"/>
      <c r="K2815" s="17"/>
      <c r="L2815" s="649">
        <f>PRODUCT(C2815:K2815)</f>
        <v>355.125</v>
      </c>
    </row>
    <row r="2816" spans="2:12" ht="15">
      <c r="B2816" s="650"/>
      <c r="C2816" s="20"/>
      <c r="D2816" s="20"/>
      <c r="E2816" s="20"/>
      <c r="F2816" s="20"/>
      <c r="G2816" s="20"/>
      <c r="H2816" s="20"/>
      <c r="I2816" s="20"/>
      <c r="J2816" s="19"/>
      <c r="K2816" s="17"/>
      <c r="L2816" s="649"/>
    </row>
    <row r="2817" spans="2:12" ht="15">
      <c r="B2817" s="650"/>
      <c r="C2817" s="20"/>
      <c r="D2817" s="20"/>
      <c r="E2817" s="20"/>
      <c r="F2817" s="20"/>
      <c r="G2817" s="20"/>
      <c r="H2817" s="20"/>
      <c r="I2817" s="20"/>
      <c r="J2817" s="19"/>
      <c r="K2817" s="17"/>
      <c r="L2817" s="649"/>
    </row>
    <row r="2818" spans="2:12" ht="15">
      <c r="B2818" s="650"/>
      <c r="C2818" s="20"/>
      <c r="D2818" s="20"/>
      <c r="E2818" s="20"/>
      <c r="F2818" s="20"/>
      <c r="G2818" s="20"/>
      <c r="H2818" s="19"/>
      <c r="I2818" s="20"/>
      <c r="J2818" s="19"/>
      <c r="K2818" s="17"/>
      <c r="L2818" s="645"/>
    </row>
    <row r="2819" spans="2:12" ht="15">
      <c r="B2819" s="650"/>
      <c r="C2819" s="20"/>
      <c r="D2819" s="20"/>
      <c r="E2819" s="20"/>
      <c r="F2819" s="20"/>
      <c r="G2819" s="20"/>
      <c r="H2819" s="19"/>
      <c r="I2819" s="20"/>
      <c r="J2819" s="19"/>
      <c r="K2819" s="17"/>
      <c r="L2819" s="645"/>
    </row>
    <row r="2820" spans="2:12">
      <c r="B2820" s="651"/>
      <c r="L2820" s="652"/>
    </row>
    <row r="2821" spans="2:12" ht="15.75">
      <c r="B2821" s="788" t="s">
        <v>398</v>
      </c>
      <c r="C2821" s="172">
        <v>2</v>
      </c>
      <c r="D2821" s="1055" t="s">
        <v>1027</v>
      </c>
      <c r="E2821" s="1056"/>
      <c r="F2821" s="1056"/>
      <c r="G2821" s="1056"/>
      <c r="H2821" s="1056"/>
      <c r="I2821" s="1056"/>
      <c r="J2821" s="1056"/>
      <c r="K2821" s="1056"/>
      <c r="L2821" s="1057"/>
    </row>
    <row r="2822" spans="2:12" ht="15">
      <c r="B2822" s="1005"/>
      <c r="C2822" s="1006"/>
      <c r="D2822" s="1006"/>
      <c r="E2822" s="1006"/>
      <c r="F2822" s="1006"/>
      <c r="G2822" s="1006"/>
      <c r="H2822" s="1006"/>
      <c r="I2822" s="1006"/>
      <c r="J2822" s="1006"/>
      <c r="K2822" s="1006"/>
      <c r="L2822" s="1007"/>
    </row>
    <row r="2823" spans="2:12" ht="31.5">
      <c r="B2823" s="642" t="s">
        <v>399</v>
      </c>
      <c r="C2823" s="11">
        <f>+'PROPUESTA ECONOMICA(Proponente)'!C389</f>
        <v>2.1</v>
      </c>
      <c r="D2823" s="12" t="str">
        <f>+VLOOKUP('MEMORIAS DE CANTIDADES'!C2823,'PROPUESTA ECONOMICA(Proponente)'!$C$379:$H$661,5,FALSE)</f>
        <v>Acero de Refuerzo 60000 PSI (incluye suministro, figurado y fijación)</v>
      </c>
      <c r="E2823" s="13"/>
      <c r="F2823" s="12"/>
      <c r="G2823" s="12"/>
      <c r="H2823" s="12"/>
      <c r="I2823" s="11" t="s">
        <v>400</v>
      </c>
      <c r="J2823" s="12" t="str">
        <f>+VLOOKUP('MEMORIAS DE CANTIDADES'!C2823,'PROPUESTA ECONOMICA(Proponente)'!$C$379:$H$661,6,FALSE)</f>
        <v>KG</v>
      </c>
      <c r="K2823" s="11" t="s">
        <v>401</v>
      </c>
      <c r="L2823" s="657">
        <f>SUM(L2824:L3066)</f>
        <v>106203.07276000001</v>
      </c>
    </row>
    <row r="2824" spans="2:12" ht="15">
      <c r="B2824" s="644"/>
      <c r="C2824" s="30" t="s">
        <v>38</v>
      </c>
      <c r="D2824" s="30" t="s">
        <v>38</v>
      </c>
      <c r="E2824" s="30" t="s">
        <v>38</v>
      </c>
      <c r="F2824" s="30" t="s">
        <v>38</v>
      </c>
      <c r="G2824" s="30" t="s">
        <v>38</v>
      </c>
      <c r="H2824" s="30" t="s">
        <v>38</v>
      </c>
      <c r="I2824" s="15"/>
      <c r="J2824" s="15"/>
      <c r="K2824" s="17"/>
      <c r="L2824" s="645"/>
    </row>
    <row r="2825" spans="2:12" ht="31.5">
      <c r="B2825" s="646" t="s">
        <v>402</v>
      </c>
      <c r="C2825" s="31" t="s">
        <v>422</v>
      </c>
      <c r="D2825" s="31" t="s">
        <v>423</v>
      </c>
      <c r="E2825" s="31" t="s">
        <v>424</v>
      </c>
      <c r="F2825" s="31" t="s">
        <v>425</v>
      </c>
      <c r="G2825" s="31" t="s">
        <v>426</v>
      </c>
      <c r="H2825" s="32" t="s">
        <v>427</v>
      </c>
      <c r="I2825" s="18" t="s">
        <v>409</v>
      </c>
      <c r="J2825" s="5" t="s">
        <v>410</v>
      </c>
      <c r="K2825" s="5" t="s">
        <v>411</v>
      </c>
      <c r="L2825" s="647" t="s">
        <v>412</v>
      </c>
    </row>
    <row r="2826" spans="2:12" ht="15.75">
      <c r="B2826" s="658"/>
      <c r="C2826" s="19"/>
      <c r="D2826" s="20"/>
      <c r="E2826" s="20"/>
      <c r="F2826" s="20"/>
      <c r="G2826" s="20"/>
      <c r="H2826" s="21"/>
      <c r="I2826" s="17"/>
      <c r="J2826" s="28"/>
      <c r="K2826" s="17"/>
      <c r="L2826" s="649"/>
    </row>
    <row r="2827" spans="2:12" ht="15.75">
      <c r="B2827" s="658" t="s">
        <v>438</v>
      </c>
      <c r="C2827" s="19"/>
      <c r="D2827" s="20"/>
      <c r="E2827" s="20"/>
      <c r="F2827" s="20"/>
      <c r="G2827" s="20"/>
      <c r="H2827" s="21"/>
      <c r="I2827" s="17"/>
      <c r="J2827" s="28"/>
      <c r="K2827" s="17"/>
      <c r="L2827" s="649"/>
    </row>
    <row r="2828" spans="2:12" ht="15.75">
      <c r="B2828" s="658" t="s">
        <v>439</v>
      </c>
      <c r="C2828" s="19"/>
      <c r="D2828" s="20"/>
      <c r="E2828" s="20"/>
      <c r="F2828" s="20"/>
      <c r="G2828" s="20"/>
      <c r="H2828" s="21"/>
      <c r="I2828" s="17"/>
      <c r="J2828" s="28"/>
      <c r="K2828" s="17"/>
      <c r="L2828" s="649"/>
    </row>
    <row r="2829" spans="2:12" ht="15">
      <c r="B2829" s="662" t="s">
        <v>440</v>
      </c>
      <c r="C2829" s="19"/>
      <c r="D2829" s="20"/>
      <c r="E2829" s="33">
        <f>3.75*1*17+2.95*23*1</f>
        <v>131.60000000000002</v>
      </c>
      <c r="F2829" s="20"/>
      <c r="G2829" s="20"/>
      <c r="H2829" s="21"/>
      <c r="I2829" s="35">
        <v>6</v>
      </c>
      <c r="J2829" s="28"/>
      <c r="K2829" s="17"/>
      <c r="L2829" s="649">
        <f>+SUM(C2829:G2829)*I2829</f>
        <v>789.60000000000014</v>
      </c>
    </row>
    <row r="2830" spans="2:12" ht="15">
      <c r="B2830" s="662" t="s">
        <v>441</v>
      </c>
      <c r="C2830" s="19"/>
      <c r="D2830" s="20"/>
      <c r="E2830" s="36">
        <f>1.85*20*1</f>
        <v>37</v>
      </c>
      <c r="F2830" s="20"/>
      <c r="G2830" s="20"/>
      <c r="H2830" s="21"/>
      <c r="I2830" s="35">
        <v>2</v>
      </c>
      <c r="J2830" s="28"/>
      <c r="K2830" s="17"/>
      <c r="L2830" s="649">
        <f>+SUM(C2830:G2830)*I2830</f>
        <v>74</v>
      </c>
    </row>
    <row r="2831" spans="2:12" ht="15.75">
      <c r="B2831" s="658" t="s">
        <v>428</v>
      </c>
      <c r="C2831" s="19"/>
      <c r="D2831" s="20"/>
      <c r="E2831" s="20"/>
      <c r="F2831" s="20"/>
      <c r="G2831" s="20"/>
      <c r="H2831" s="372" t="s">
        <v>442</v>
      </c>
      <c r="I2831" s="17"/>
      <c r="J2831" s="28"/>
      <c r="K2831" s="17"/>
      <c r="L2831" s="649"/>
    </row>
    <row r="2832" spans="2:12" ht="15">
      <c r="B2832" s="662" t="s">
        <v>443</v>
      </c>
      <c r="C2832" s="19"/>
      <c r="D2832" s="33">
        <f>(13+6+12+6+6)*1.88*0.56+(13+6+12+6+6)*0.55*0.56</f>
        <v>58.514399999999995</v>
      </c>
      <c r="E2832" s="34"/>
      <c r="F2832" s="34"/>
      <c r="G2832" s="33">
        <f>16*7.5*2.235</f>
        <v>268.2</v>
      </c>
      <c r="H2832" s="35"/>
      <c r="I2832" s="35">
        <v>2</v>
      </c>
      <c r="J2832" s="28"/>
      <c r="K2832" s="17"/>
      <c r="L2832" s="649">
        <f>+SUM(C2832:G2832)*I2832</f>
        <v>653.42879999999991</v>
      </c>
    </row>
    <row r="2833" spans="2:12" ht="15">
      <c r="B2833" s="662" t="s">
        <v>444</v>
      </c>
      <c r="C2833" s="19"/>
      <c r="D2833" s="33">
        <f>+(13+6+6+6+4+18)*1.88*0.56+(13+6+6+6+4+18)*0.56*0.55</f>
        <v>72.122400000000013</v>
      </c>
      <c r="E2833" s="35"/>
      <c r="F2833" s="34"/>
      <c r="G2833" s="33">
        <f>8*7.5*2.235</f>
        <v>134.1</v>
      </c>
      <c r="H2833" s="34">
        <f>8*7.5*3.042</f>
        <v>182.51999999999998</v>
      </c>
      <c r="I2833" s="35">
        <v>2</v>
      </c>
      <c r="J2833" s="28"/>
      <c r="K2833" s="17"/>
      <c r="L2833" s="649">
        <f>+SUM(C2833:H2833)*I2833</f>
        <v>777.48479999999995</v>
      </c>
    </row>
    <row r="2834" spans="2:12" ht="15">
      <c r="B2834" s="662" t="s">
        <v>445</v>
      </c>
      <c r="C2834" s="19"/>
      <c r="D2834" s="33">
        <f>+(13+6+6+6+4+18)*1.5*0.56+(13+6+6+6+4+18)*0.56*0.55</f>
        <v>60.844000000000008</v>
      </c>
      <c r="E2834" s="35"/>
      <c r="F2834" s="34"/>
      <c r="G2834" s="33">
        <f>10*7.5*2.235</f>
        <v>167.625</v>
      </c>
      <c r="H2834" s="35"/>
      <c r="I2834" s="35">
        <v>2</v>
      </c>
      <c r="J2834" s="28"/>
      <c r="K2834" s="17"/>
      <c r="L2834" s="649">
        <f t="shared" ref="L2834:L2847" si="191">+SUM(C2834:G2834)*I2834</f>
        <v>456.93799999999999</v>
      </c>
    </row>
    <row r="2835" spans="2:12" ht="15">
      <c r="B2835" s="662" t="s">
        <v>446</v>
      </c>
      <c r="C2835" s="19"/>
      <c r="D2835" s="33">
        <f>+(13+6+6+6+4)*0.88*0.56</f>
        <v>17.248000000000001</v>
      </c>
      <c r="E2835" s="36">
        <f>8*5.6*1</f>
        <v>44.8</v>
      </c>
      <c r="F2835" s="34"/>
      <c r="G2835" s="34"/>
      <c r="H2835" s="34"/>
      <c r="I2835" s="35">
        <v>2</v>
      </c>
      <c r="J2835" s="28"/>
      <c r="K2835" s="17"/>
      <c r="L2835" s="649">
        <f t="shared" si="191"/>
        <v>124.096</v>
      </c>
    </row>
    <row r="2836" spans="2:12" ht="15.75">
      <c r="B2836" s="658" t="s">
        <v>436</v>
      </c>
      <c r="C2836" s="19"/>
      <c r="D2836" s="20"/>
      <c r="E2836" s="20"/>
      <c r="F2836" s="20"/>
      <c r="G2836" s="20"/>
      <c r="H2836" s="21"/>
      <c r="I2836" s="17"/>
      <c r="J2836" s="28"/>
      <c r="K2836" s="17"/>
      <c r="L2836" s="649"/>
    </row>
    <row r="2837" spans="2:12" ht="15">
      <c r="B2837" s="662" t="s">
        <v>447</v>
      </c>
      <c r="C2837" s="19"/>
      <c r="D2837" s="33">
        <v>99.2</v>
      </c>
      <c r="E2837" s="33">
        <v>53.1</v>
      </c>
      <c r="F2837" s="33">
        <v>167.8</v>
      </c>
      <c r="G2837" s="20"/>
      <c r="H2837" s="21"/>
      <c r="I2837" s="35">
        <v>2</v>
      </c>
      <c r="J2837" s="28"/>
      <c r="K2837" s="17"/>
      <c r="L2837" s="649">
        <f t="shared" si="191"/>
        <v>640.20000000000005</v>
      </c>
    </row>
    <row r="2838" spans="2:12" ht="15">
      <c r="B2838" s="662" t="s">
        <v>448</v>
      </c>
      <c r="C2838" s="19"/>
      <c r="D2838" s="33">
        <v>14.6</v>
      </c>
      <c r="E2838" s="36" t="s">
        <v>429</v>
      </c>
      <c r="F2838" s="33">
        <v>30.8</v>
      </c>
      <c r="G2838" s="20"/>
      <c r="H2838" s="21"/>
      <c r="I2838" s="35">
        <v>1</v>
      </c>
      <c r="J2838" s="28"/>
      <c r="K2838" s="17"/>
      <c r="L2838" s="649">
        <f t="shared" si="191"/>
        <v>45.4</v>
      </c>
    </row>
    <row r="2839" spans="2:12" ht="15">
      <c r="B2839" s="662" t="s">
        <v>449</v>
      </c>
      <c r="C2839" s="19"/>
      <c r="D2839" s="33">
        <v>35.799999999999997</v>
      </c>
      <c r="E2839" s="36" t="s">
        <v>429</v>
      </c>
      <c r="F2839" s="33">
        <v>69.400000000000006</v>
      </c>
      <c r="G2839" s="20"/>
      <c r="H2839" s="21"/>
      <c r="I2839" s="35">
        <v>1</v>
      </c>
      <c r="J2839" s="28"/>
      <c r="K2839" s="17"/>
      <c r="L2839" s="649">
        <f t="shared" si="191"/>
        <v>105.2</v>
      </c>
    </row>
    <row r="2840" spans="2:12" ht="15">
      <c r="B2840" s="662" t="s">
        <v>450</v>
      </c>
      <c r="C2840" s="19"/>
      <c r="D2840" s="33">
        <v>13.4</v>
      </c>
      <c r="E2840" s="36" t="s">
        <v>429</v>
      </c>
      <c r="F2840" s="33">
        <v>30.2</v>
      </c>
      <c r="G2840" s="20"/>
      <c r="H2840" s="21"/>
      <c r="I2840" s="35">
        <v>7</v>
      </c>
      <c r="J2840" s="28"/>
      <c r="K2840" s="17"/>
      <c r="L2840" s="649">
        <f>+SUM(C2840:G2840)*I2840</f>
        <v>305.2</v>
      </c>
    </row>
    <row r="2841" spans="2:12" ht="15.75">
      <c r="B2841" s="658" t="s">
        <v>430</v>
      </c>
      <c r="C2841" s="19"/>
      <c r="D2841" s="20"/>
      <c r="E2841" s="20"/>
      <c r="F2841" s="20"/>
      <c r="G2841" s="20"/>
      <c r="H2841" s="21"/>
      <c r="I2841" s="17"/>
      <c r="J2841" s="28"/>
      <c r="K2841" s="17"/>
      <c r="L2841" s="649"/>
    </row>
    <row r="2842" spans="2:12" ht="15">
      <c r="B2842" s="662" t="s">
        <v>451</v>
      </c>
      <c r="C2842" s="19"/>
      <c r="D2842" s="34"/>
      <c r="E2842" s="33">
        <v>56.2</v>
      </c>
      <c r="F2842" s="33">
        <v>6</v>
      </c>
      <c r="G2842" s="33">
        <v>103.7</v>
      </c>
      <c r="H2842" s="21"/>
      <c r="I2842" s="35">
        <v>2</v>
      </c>
      <c r="J2842" s="28"/>
      <c r="K2842" s="17"/>
      <c r="L2842" s="649">
        <f>+SUM(C2842:G2842)*I2842</f>
        <v>331.8</v>
      </c>
    </row>
    <row r="2843" spans="2:12" ht="15">
      <c r="B2843" s="662" t="s">
        <v>452</v>
      </c>
      <c r="C2843" s="19"/>
      <c r="D2843" s="34"/>
      <c r="E2843" s="33">
        <v>15.9</v>
      </c>
      <c r="F2843" s="33">
        <v>14.1</v>
      </c>
      <c r="G2843" s="33">
        <v>30.2</v>
      </c>
      <c r="H2843" s="21"/>
      <c r="I2843" s="35">
        <v>2</v>
      </c>
      <c r="J2843" s="28"/>
      <c r="K2843" s="17"/>
      <c r="L2843" s="649">
        <f t="shared" si="191"/>
        <v>120.4</v>
      </c>
    </row>
    <row r="2844" spans="2:12" ht="15">
      <c r="B2844" s="662" t="s">
        <v>453</v>
      </c>
      <c r="C2844" s="19"/>
      <c r="D2844" s="34"/>
      <c r="E2844" s="33">
        <v>15.7</v>
      </c>
      <c r="F2844" s="33">
        <v>18.8</v>
      </c>
      <c r="G2844" s="36" t="s">
        <v>429</v>
      </c>
      <c r="H2844" s="21"/>
      <c r="I2844" s="35">
        <v>1</v>
      </c>
      <c r="J2844" s="28"/>
      <c r="K2844" s="17"/>
      <c r="L2844" s="649">
        <f>+SUM(C2844:G2844)*I2844</f>
        <v>34.5</v>
      </c>
    </row>
    <row r="2845" spans="2:12" ht="15">
      <c r="B2845" s="662" t="s">
        <v>431</v>
      </c>
      <c r="C2845" s="19"/>
      <c r="D2845" s="33">
        <v>7.4</v>
      </c>
      <c r="E2845" s="33"/>
      <c r="F2845" s="33">
        <v>11.9</v>
      </c>
      <c r="G2845" s="36" t="s">
        <v>429</v>
      </c>
      <c r="H2845" s="21"/>
      <c r="I2845" s="35">
        <v>12</v>
      </c>
      <c r="J2845" s="28"/>
      <c r="K2845" s="17"/>
      <c r="L2845" s="649">
        <f>+SUM(C2845:G2845)*I2845</f>
        <v>231.60000000000002</v>
      </c>
    </row>
    <row r="2846" spans="2:12" ht="15">
      <c r="B2846" s="662" t="s">
        <v>433</v>
      </c>
      <c r="C2846" s="34">
        <f>5*18.8</f>
        <v>94</v>
      </c>
      <c r="D2846" s="20"/>
      <c r="E2846" s="20"/>
      <c r="F2846" s="20"/>
      <c r="G2846" s="20"/>
      <c r="H2846" s="21"/>
      <c r="I2846" s="35">
        <v>1</v>
      </c>
      <c r="J2846" s="28"/>
      <c r="K2846" s="17"/>
      <c r="L2846" s="649">
        <f>+SUM(C2846:G2846)*I2846</f>
        <v>94</v>
      </c>
    </row>
    <row r="2847" spans="2:12" ht="15.75">
      <c r="B2847" s="658"/>
      <c r="C2847" s="19"/>
      <c r="D2847" s="20"/>
      <c r="E2847" s="20"/>
      <c r="F2847" s="20"/>
      <c r="G2847" s="20"/>
      <c r="H2847" s="21"/>
      <c r="I2847" s="17"/>
      <c r="J2847" s="28"/>
      <c r="K2847" s="17"/>
      <c r="L2847" s="649">
        <f t="shared" si="191"/>
        <v>0</v>
      </c>
    </row>
    <row r="2848" spans="2:12" ht="15.75">
      <c r="B2848" s="658" t="s">
        <v>454</v>
      </c>
      <c r="C2848" s="32" t="s">
        <v>455</v>
      </c>
      <c r="D2848" s="20"/>
      <c r="E2848" s="20"/>
      <c r="F2848" s="20"/>
      <c r="G2848" s="20"/>
      <c r="H2848" s="372" t="s">
        <v>442</v>
      </c>
      <c r="I2848" s="17"/>
      <c r="J2848" s="28"/>
      <c r="K2848" s="17"/>
      <c r="L2848" s="649">
        <f>+SUM(C2848:G2848)*I2848</f>
        <v>0</v>
      </c>
    </row>
    <row r="2849" spans="2:12" ht="15">
      <c r="B2849" s="662" t="s">
        <v>456</v>
      </c>
      <c r="C2849" s="19"/>
      <c r="D2849" s="33">
        <v>91.9</v>
      </c>
      <c r="E2849" s="33">
        <v>19.8</v>
      </c>
      <c r="F2849" s="36" t="s">
        <v>429</v>
      </c>
      <c r="G2849" s="33">
        <v>42.6</v>
      </c>
      <c r="H2849" s="33">
        <v>473.2</v>
      </c>
      <c r="I2849" s="35">
        <v>2</v>
      </c>
      <c r="J2849" s="28"/>
      <c r="K2849" s="17"/>
      <c r="L2849" s="649">
        <f>+SUM(C2849:H2849)*I2849</f>
        <v>1255</v>
      </c>
    </row>
    <row r="2850" spans="2:12" ht="15">
      <c r="B2850" s="662" t="s">
        <v>457</v>
      </c>
      <c r="C2850" s="19"/>
      <c r="D2850" s="33">
        <v>23.9</v>
      </c>
      <c r="E2850" s="36" t="s">
        <v>429</v>
      </c>
      <c r="F2850" s="33">
        <v>10.4</v>
      </c>
      <c r="G2850" s="33">
        <v>15.1</v>
      </c>
      <c r="H2850" s="33">
        <v>83.4</v>
      </c>
      <c r="I2850" s="35">
        <v>5</v>
      </c>
      <c r="J2850" s="28"/>
      <c r="K2850" s="17"/>
      <c r="L2850" s="649">
        <f t="shared" ref="L2850" si="192">+SUM(C2850:H2850)*I2850</f>
        <v>664</v>
      </c>
    </row>
    <row r="2851" spans="2:12" ht="15">
      <c r="B2851" s="662" t="s">
        <v>458</v>
      </c>
      <c r="C2851" s="34">
        <f>78*0.72*0.25</f>
        <v>14.04</v>
      </c>
      <c r="D2851" s="34"/>
      <c r="E2851" s="36">
        <f>7*3*1</f>
        <v>21</v>
      </c>
      <c r="F2851" s="34"/>
      <c r="G2851" s="33">
        <f>1*9*2.235+3*7*2.235+3*6*2.235+1*4*2.235</f>
        <v>116.22</v>
      </c>
      <c r="H2851" s="34"/>
      <c r="I2851" s="35">
        <v>2</v>
      </c>
      <c r="J2851" s="28"/>
      <c r="K2851" s="17"/>
      <c r="L2851" s="649">
        <f>+SUM(C2851:H2851)*I2851</f>
        <v>302.52</v>
      </c>
    </row>
    <row r="2852" spans="2:12" ht="15">
      <c r="B2852" s="662" t="s">
        <v>459</v>
      </c>
      <c r="C2852" s="19"/>
      <c r="D2852" s="33">
        <f>152*6.2*0.56*2+43*4*6*0.56*2</f>
        <v>2211.3280000000004</v>
      </c>
      <c r="E2852" s="33"/>
      <c r="F2852" s="36"/>
      <c r="G2852" s="34"/>
      <c r="H2852" s="372" t="s">
        <v>427</v>
      </c>
      <c r="I2852" s="35">
        <v>1</v>
      </c>
      <c r="J2852" s="28"/>
      <c r="K2852" s="17"/>
      <c r="L2852" s="649">
        <f>+SUM(C2852:H2852)*I2852</f>
        <v>2211.3280000000004</v>
      </c>
    </row>
    <row r="2853" spans="2:12" ht="15">
      <c r="B2853" s="662"/>
      <c r="C2853" s="19"/>
      <c r="D2853" s="20"/>
      <c r="E2853" s="20"/>
      <c r="F2853" s="20"/>
      <c r="G2853" s="20"/>
      <c r="H2853" s="33"/>
      <c r="I2853" s="17"/>
      <c r="J2853" s="28"/>
      <c r="K2853" s="17"/>
      <c r="L2853" s="649"/>
    </row>
    <row r="2854" spans="2:12" ht="15.75">
      <c r="B2854" s="658" t="s">
        <v>437</v>
      </c>
      <c r="C2854" s="19"/>
      <c r="D2854" s="20"/>
      <c r="E2854" s="20"/>
      <c r="F2854" s="20"/>
      <c r="G2854" s="20"/>
      <c r="H2854" s="21"/>
      <c r="I2854" s="17"/>
      <c r="J2854" s="28"/>
      <c r="K2854" s="17"/>
      <c r="L2854" s="649"/>
    </row>
    <row r="2855" spans="2:12" ht="15">
      <c r="B2855" s="678" t="s">
        <v>434</v>
      </c>
      <c r="C2855" s="34">
        <f>8*29.3</f>
        <v>234.4</v>
      </c>
      <c r="D2855" s="20"/>
      <c r="E2855" s="20"/>
      <c r="F2855" s="20"/>
      <c r="G2855" s="20"/>
      <c r="H2855" s="21"/>
      <c r="I2855" s="28">
        <v>1</v>
      </c>
      <c r="J2855" s="28"/>
      <c r="K2855" s="17"/>
      <c r="L2855" s="649">
        <f>+SUM(C2855:H2855)*I2855</f>
        <v>234.4</v>
      </c>
    </row>
    <row r="2856" spans="2:12" ht="15.75">
      <c r="B2856" s="658"/>
      <c r="C2856" s="19"/>
      <c r="D2856" s="20"/>
      <c r="E2856" s="20"/>
      <c r="F2856" s="20"/>
      <c r="G2856" s="20"/>
      <c r="H2856" s="21"/>
      <c r="I2856" s="17"/>
      <c r="J2856" s="28"/>
      <c r="K2856" s="17"/>
      <c r="L2856" s="649"/>
    </row>
    <row r="2857" spans="2:12">
      <c r="B2857" s="655"/>
      <c r="C2857" s="39"/>
      <c r="D2857" s="39"/>
      <c r="E2857" s="39"/>
      <c r="F2857" s="39"/>
      <c r="G2857" s="39"/>
      <c r="H2857" s="39"/>
      <c r="I2857" s="39"/>
      <c r="J2857" s="39"/>
      <c r="K2857" s="39"/>
      <c r="L2857" s="738"/>
    </row>
    <row r="2858" spans="2:12" ht="15.75">
      <c r="B2858" s="658" t="s">
        <v>464</v>
      </c>
      <c r="C2858" s="19"/>
      <c r="D2858" s="20"/>
      <c r="E2858" s="20"/>
      <c r="F2858" s="20"/>
      <c r="G2858" s="20"/>
      <c r="H2858" s="21"/>
      <c r="I2858" s="17"/>
      <c r="J2858" s="28"/>
      <c r="K2858" s="17"/>
      <c r="L2858" s="649"/>
    </row>
    <row r="2859" spans="2:12" ht="15.75">
      <c r="B2859" s="658" t="s">
        <v>439</v>
      </c>
      <c r="C2859" s="19"/>
      <c r="D2859" s="20"/>
      <c r="E2859" s="20"/>
      <c r="F2859" s="20"/>
      <c r="G2859" s="20"/>
      <c r="H2859" s="21"/>
      <c r="I2859" s="17"/>
      <c r="J2859" s="28"/>
      <c r="K2859" s="17"/>
      <c r="L2859" s="649"/>
    </row>
    <row r="2860" spans="2:12" ht="15">
      <c r="B2860" s="662" t="s">
        <v>465</v>
      </c>
      <c r="C2860" s="19"/>
      <c r="D2860" s="20"/>
      <c r="E2860" s="33">
        <v>124.10000000000001</v>
      </c>
      <c r="F2860" s="20"/>
      <c r="G2860" s="20"/>
      <c r="H2860" s="21"/>
      <c r="I2860" s="35">
        <v>4</v>
      </c>
      <c r="J2860" s="28"/>
      <c r="K2860" s="28">
        <v>2</v>
      </c>
      <c r="L2860" s="649">
        <f>+SUM(C2860:G2860)*I2860*K2860</f>
        <v>992.80000000000007</v>
      </c>
    </row>
    <row r="2861" spans="2:12" ht="15">
      <c r="B2861" s="662" t="s">
        <v>466</v>
      </c>
      <c r="C2861" s="19"/>
      <c r="D2861" s="20"/>
      <c r="E2861" s="36">
        <v>31.5</v>
      </c>
      <c r="F2861" s="20"/>
      <c r="G2861" s="20"/>
      <c r="H2861" s="21"/>
      <c r="I2861" s="35">
        <v>2</v>
      </c>
      <c r="J2861" s="28"/>
      <c r="K2861" s="28">
        <v>2</v>
      </c>
      <c r="L2861" s="649">
        <f>+SUM(C2861:G2861)*I2861*K2861</f>
        <v>126</v>
      </c>
    </row>
    <row r="2862" spans="2:12" ht="15.75">
      <c r="B2862" s="658" t="s">
        <v>428</v>
      </c>
      <c r="C2862" s="19"/>
      <c r="D2862" s="20"/>
      <c r="E2862" s="20"/>
      <c r="F2862" s="20"/>
      <c r="G2862" s="20"/>
      <c r="H2862" s="32" t="s">
        <v>442</v>
      </c>
      <c r="I2862" s="17"/>
      <c r="J2862" s="28"/>
      <c r="K2862" s="28"/>
      <c r="L2862" s="649"/>
    </row>
    <row r="2863" spans="2:12" ht="15">
      <c r="B2863" s="662" t="s">
        <v>467</v>
      </c>
      <c r="C2863" s="19"/>
      <c r="D2863" s="33">
        <v>58.514399999999995</v>
      </c>
      <c r="E2863" s="34"/>
      <c r="F2863" s="34"/>
      <c r="G2863" s="33">
        <v>132.31200000000001</v>
      </c>
      <c r="H2863" s="35">
        <v>180.56</v>
      </c>
      <c r="I2863" s="35">
        <v>2</v>
      </c>
      <c r="J2863" s="28"/>
      <c r="K2863" s="28">
        <v>2</v>
      </c>
      <c r="L2863" s="649">
        <f t="shared" ref="L2863:L2876" si="193">+SUM(C2863:G2863)*I2863*K2863</f>
        <v>763.30560000000003</v>
      </c>
    </row>
    <row r="2864" spans="2:12" ht="15">
      <c r="B2864" s="662" t="s">
        <v>468</v>
      </c>
      <c r="C2864" s="19"/>
      <c r="D2864" s="33">
        <v>70.761600000000001</v>
      </c>
      <c r="E2864" s="35"/>
      <c r="F2864" s="34"/>
      <c r="G2864" s="33">
        <v>132.31200000000001</v>
      </c>
      <c r="H2864" s="34">
        <v>180.56</v>
      </c>
      <c r="I2864" s="35">
        <v>2</v>
      </c>
      <c r="J2864" s="28"/>
      <c r="K2864" s="28">
        <v>2</v>
      </c>
      <c r="L2864" s="649">
        <f t="shared" si="193"/>
        <v>812.2944</v>
      </c>
    </row>
    <row r="2865" spans="2:12" ht="15">
      <c r="B2865" s="662" t="s">
        <v>469</v>
      </c>
      <c r="C2865" s="19"/>
      <c r="D2865" s="33">
        <v>16.755200000000002</v>
      </c>
      <c r="E2865" s="35">
        <v>33.6</v>
      </c>
      <c r="F2865" s="34"/>
      <c r="G2865" s="33"/>
      <c r="H2865" s="35"/>
      <c r="I2865" s="35">
        <v>2</v>
      </c>
      <c r="J2865" s="28"/>
      <c r="K2865" s="28">
        <v>2</v>
      </c>
      <c r="L2865" s="649">
        <f t="shared" si="193"/>
        <v>201.42080000000001</v>
      </c>
    </row>
    <row r="2866" spans="2:12" ht="15">
      <c r="B2866" s="662"/>
      <c r="C2866" s="19"/>
      <c r="D2866" s="33"/>
      <c r="E2866" s="36"/>
      <c r="F2866" s="34"/>
      <c r="G2866" s="34"/>
      <c r="H2866" s="34"/>
      <c r="I2866" s="35"/>
      <c r="J2866" s="28"/>
      <c r="K2866" s="28"/>
      <c r="L2866" s="649"/>
    </row>
    <row r="2867" spans="2:12" ht="15.75">
      <c r="B2867" s="658" t="s">
        <v>436</v>
      </c>
      <c r="C2867" s="19"/>
      <c r="D2867" s="20"/>
      <c r="E2867" s="20"/>
      <c r="F2867" s="20"/>
      <c r="G2867" s="20"/>
      <c r="H2867" s="21"/>
      <c r="I2867" s="17"/>
      <c r="J2867" s="28"/>
      <c r="K2867" s="28"/>
      <c r="L2867" s="649"/>
    </row>
    <row r="2868" spans="2:12" ht="15">
      <c r="B2868" s="662" t="s">
        <v>470</v>
      </c>
      <c r="C2868" s="19"/>
      <c r="D2868" s="33">
        <v>36.1</v>
      </c>
      <c r="E2868" s="33"/>
      <c r="F2868" s="33">
        <v>79</v>
      </c>
      <c r="G2868" s="20"/>
      <c r="H2868" s="21"/>
      <c r="I2868" s="35">
        <v>2</v>
      </c>
      <c r="J2868" s="28"/>
      <c r="K2868" s="28">
        <v>2</v>
      </c>
      <c r="L2868" s="649">
        <f t="shared" si="193"/>
        <v>460.4</v>
      </c>
    </row>
    <row r="2869" spans="2:12" ht="15">
      <c r="B2869" s="662" t="s">
        <v>471</v>
      </c>
      <c r="C2869" s="19"/>
      <c r="D2869" s="33">
        <v>6.4</v>
      </c>
      <c r="E2869" s="36" t="s">
        <v>429</v>
      </c>
      <c r="F2869" s="33">
        <v>18.600000000000001</v>
      </c>
      <c r="G2869" s="20"/>
      <c r="H2869" s="21"/>
      <c r="I2869" s="35">
        <v>1</v>
      </c>
      <c r="J2869" s="28"/>
      <c r="K2869" s="28">
        <v>2</v>
      </c>
      <c r="L2869" s="649">
        <f t="shared" si="193"/>
        <v>50</v>
      </c>
    </row>
    <row r="2870" spans="2:12" ht="15">
      <c r="B2870" s="662" t="s">
        <v>472</v>
      </c>
      <c r="C2870" s="19"/>
      <c r="D2870" s="33">
        <v>34.6</v>
      </c>
      <c r="E2870" s="36" t="s">
        <v>429</v>
      </c>
      <c r="F2870" s="33">
        <v>58.4</v>
      </c>
      <c r="G2870" s="20"/>
      <c r="H2870" s="21"/>
      <c r="I2870" s="35">
        <v>2</v>
      </c>
      <c r="J2870" s="28"/>
      <c r="K2870" s="28">
        <v>2</v>
      </c>
      <c r="L2870" s="649">
        <f t="shared" si="193"/>
        <v>372</v>
      </c>
    </row>
    <row r="2871" spans="2:12" ht="15">
      <c r="B2871" s="662" t="s">
        <v>473</v>
      </c>
      <c r="C2871" s="19"/>
      <c r="D2871" s="33">
        <v>13.4</v>
      </c>
      <c r="E2871" s="36" t="s">
        <v>429</v>
      </c>
      <c r="F2871" s="33">
        <v>28.2</v>
      </c>
      <c r="G2871" s="20"/>
      <c r="H2871" s="21"/>
      <c r="I2871" s="35">
        <v>7</v>
      </c>
      <c r="J2871" s="28"/>
      <c r="K2871" s="28">
        <v>2</v>
      </c>
      <c r="L2871" s="649">
        <f t="shared" si="193"/>
        <v>582.4</v>
      </c>
    </row>
    <row r="2872" spans="2:12" ht="15.75">
      <c r="B2872" s="658" t="s">
        <v>430</v>
      </c>
      <c r="C2872" s="19"/>
      <c r="D2872" s="20"/>
      <c r="E2872" s="20"/>
      <c r="F2872" s="20"/>
      <c r="G2872" s="20"/>
      <c r="H2872" s="21"/>
      <c r="I2872" s="17"/>
      <c r="J2872" s="28"/>
      <c r="K2872" s="28"/>
      <c r="L2872" s="649"/>
    </row>
    <row r="2873" spans="2:12" ht="15">
      <c r="B2873" s="662" t="s">
        <v>474</v>
      </c>
      <c r="C2873" s="19"/>
      <c r="D2873" s="34"/>
      <c r="E2873" s="33">
        <v>23.6</v>
      </c>
      <c r="F2873" s="33">
        <v>23.4</v>
      </c>
      <c r="G2873" s="33" t="s">
        <v>429</v>
      </c>
      <c r="H2873" s="21"/>
      <c r="I2873" s="35">
        <v>2</v>
      </c>
      <c r="J2873" s="28"/>
      <c r="K2873" s="28">
        <v>2</v>
      </c>
      <c r="L2873" s="649">
        <f t="shared" si="193"/>
        <v>188</v>
      </c>
    </row>
    <row r="2874" spans="2:12" ht="15">
      <c r="B2874" s="662" t="s">
        <v>475</v>
      </c>
      <c r="C2874" s="19"/>
      <c r="D2874" s="34"/>
      <c r="E2874" s="33">
        <v>15.1</v>
      </c>
      <c r="F2874" s="33">
        <v>22</v>
      </c>
      <c r="G2874" s="33">
        <v>7.1</v>
      </c>
      <c r="H2874" s="21"/>
      <c r="I2874" s="35">
        <v>2</v>
      </c>
      <c r="J2874" s="28"/>
      <c r="K2874" s="28">
        <v>2</v>
      </c>
      <c r="L2874" s="649">
        <f t="shared" si="193"/>
        <v>176.8</v>
      </c>
    </row>
    <row r="2875" spans="2:12" ht="15">
      <c r="B2875" s="662" t="s">
        <v>432</v>
      </c>
      <c r="C2875" s="19"/>
      <c r="D2875" s="34">
        <v>7.2</v>
      </c>
      <c r="E2875" s="33"/>
      <c r="F2875" s="33">
        <v>11.3</v>
      </c>
      <c r="G2875" s="36"/>
      <c r="H2875" s="21"/>
      <c r="I2875" s="35">
        <v>4</v>
      </c>
      <c r="J2875" s="28"/>
      <c r="K2875" s="28">
        <v>2</v>
      </c>
      <c r="L2875" s="649">
        <f t="shared" si="193"/>
        <v>148</v>
      </c>
    </row>
    <row r="2876" spans="2:12" ht="15">
      <c r="B2876" s="662" t="s">
        <v>433</v>
      </c>
      <c r="C2876" s="19">
        <v>37.6</v>
      </c>
      <c r="D2876" s="33"/>
      <c r="E2876" s="33"/>
      <c r="F2876" s="33"/>
      <c r="G2876" s="36"/>
      <c r="H2876" s="21"/>
      <c r="I2876" s="35">
        <v>1</v>
      </c>
      <c r="J2876" s="28"/>
      <c r="K2876" s="28">
        <v>4</v>
      </c>
      <c r="L2876" s="649">
        <f t="shared" si="193"/>
        <v>150.4</v>
      </c>
    </row>
    <row r="2877" spans="2:12" ht="15">
      <c r="B2877" s="662"/>
      <c r="C2877" s="34"/>
      <c r="D2877" s="20"/>
      <c r="E2877" s="20"/>
      <c r="F2877" s="20"/>
      <c r="G2877" s="20"/>
      <c r="H2877" s="21"/>
      <c r="I2877" s="35"/>
      <c r="J2877" s="28"/>
      <c r="K2877" s="28"/>
      <c r="L2877" s="649"/>
    </row>
    <row r="2878" spans="2:12" ht="15.75">
      <c r="B2878" s="658"/>
      <c r="C2878" s="19"/>
      <c r="D2878" s="20"/>
      <c r="E2878" s="20"/>
      <c r="F2878" s="20"/>
      <c r="G2878" s="20"/>
      <c r="H2878" s="21"/>
      <c r="I2878" s="17"/>
      <c r="J2878" s="28"/>
      <c r="K2878" s="28"/>
      <c r="L2878" s="649"/>
    </row>
    <row r="2879" spans="2:12" ht="15.75">
      <c r="B2879" s="658" t="s">
        <v>454</v>
      </c>
      <c r="C2879" s="32" t="s">
        <v>455</v>
      </c>
      <c r="D2879" s="20"/>
      <c r="E2879" s="20"/>
      <c r="F2879" s="20"/>
      <c r="G2879" s="20"/>
      <c r="H2879" s="32" t="s">
        <v>442</v>
      </c>
      <c r="I2879" s="17"/>
      <c r="J2879" s="28"/>
      <c r="K2879" s="28">
        <v>2</v>
      </c>
      <c r="L2879" s="649"/>
    </row>
    <row r="2880" spans="2:12" ht="15">
      <c r="B2880" s="662" t="s">
        <v>476</v>
      </c>
      <c r="C2880" s="19"/>
      <c r="D2880" s="33">
        <v>61.3</v>
      </c>
      <c r="E2880" s="33"/>
      <c r="F2880" s="36" t="s">
        <v>429</v>
      </c>
      <c r="G2880" s="33">
        <v>208.1</v>
      </c>
      <c r="H2880" s="33">
        <v>54.8</v>
      </c>
      <c r="I2880" s="35">
        <v>2</v>
      </c>
      <c r="J2880" s="28"/>
      <c r="K2880" s="28">
        <v>2</v>
      </c>
      <c r="L2880" s="649">
        <f>+SUM(C2880:G2880)*I2880*K2880</f>
        <v>1077.5999999999999</v>
      </c>
    </row>
    <row r="2881" spans="2:12" ht="15">
      <c r="B2881" s="662" t="s">
        <v>477</v>
      </c>
      <c r="C2881" s="19"/>
      <c r="D2881" s="33">
        <v>25.5</v>
      </c>
      <c r="E2881" s="36" t="s">
        <v>429</v>
      </c>
      <c r="F2881" s="33">
        <v>59.2</v>
      </c>
      <c r="G2881" s="33"/>
      <c r="H2881" s="33"/>
      <c r="I2881" s="35">
        <v>3</v>
      </c>
      <c r="J2881" s="28"/>
      <c r="K2881" s="28">
        <v>2</v>
      </c>
      <c r="L2881" s="649">
        <f>+SUM(C2881:G2881)*I2881*K2881</f>
        <v>508.20000000000005</v>
      </c>
    </row>
    <row r="2882" spans="2:12" ht="15">
      <c r="B2882" s="662" t="s">
        <v>478</v>
      </c>
      <c r="C2882" s="34">
        <v>7.04</v>
      </c>
      <c r="D2882" s="34"/>
      <c r="E2882" s="36">
        <v>9</v>
      </c>
      <c r="F2882" s="34"/>
      <c r="G2882" s="33">
        <v>58.11</v>
      </c>
      <c r="H2882" s="34"/>
      <c r="I2882" s="35">
        <v>2</v>
      </c>
      <c r="J2882" s="28"/>
      <c r="K2882" s="28">
        <v>2</v>
      </c>
      <c r="L2882" s="649">
        <f>+SUM(C2882:G2882)*I2882*K2882</f>
        <v>296.60000000000002</v>
      </c>
    </row>
    <row r="2883" spans="2:12" ht="15">
      <c r="B2883" s="662" t="s">
        <v>459</v>
      </c>
      <c r="C2883" s="19"/>
      <c r="D2883" s="33">
        <v>1034.8800000000001</v>
      </c>
      <c r="E2883" s="33"/>
      <c r="F2883" s="36"/>
      <c r="G2883" s="34"/>
      <c r="H2883" s="32"/>
      <c r="I2883" s="35">
        <v>1</v>
      </c>
      <c r="J2883" s="28"/>
      <c r="K2883" s="28">
        <v>4</v>
      </c>
      <c r="L2883" s="649">
        <f>+SUM(C2883:G2883)*I2883*K2883</f>
        <v>4139.5200000000004</v>
      </c>
    </row>
    <row r="2884" spans="2:12" ht="15">
      <c r="B2884" s="662"/>
      <c r="C2884" s="19"/>
      <c r="D2884" s="20"/>
      <c r="E2884" s="20"/>
      <c r="F2884" s="20"/>
      <c r="G2884" s="20"/>
      <c r="H2884" s="33"/>
      <c r="I2884" s="17"/>
      <c r="J2884" s="28"/>
      <c r="K2884" s="28"/>
      <c r="L2884" s="649"/>
    </row>
    <row r="2885" spans="2:12" ht="15.75">
      <c r="B2885" s="658" t="s">
        <v>437</v>
      </c>
      <c r="C2885" s="19"/>
      <c r="D2885" s="20"/>
      <c r="E2885" s="20"/>
      <c r="F2885" s="20"/>
      <c r="G2885" s="20"/>
      <c r="H2885" s="21"/>
      <c r="I2885" s="17"/>
      <c r="J2885" s="28"/>
      <c r="K2885" s="28"/>
      <c r="L2885" s="649"/>
    </row>
    <row r="2886" spans="2:12" ht="15">
      <c r="B2886" s="678" t="s">
        <v>434</v>
      </c>
      <c r="C2886" s="34">
        <v>117.2</v>
      </c>
      <c r="D2886" s="20"/>
      <c r="E2886" s="20"/>
      <c r="F2886" s="20"/>
      <c r="G2886" s="20"/>
      <c r="H2886" s="21"/>
      <c r="I2886" s="28">
        <v>1</v>
      </c>
      <c r="J2886" s="28"/>
      <c r="K2886" s="28">
        <v>2</v>
      </c>
      <c r="L2886" s="649">
        <f>+SUM(C2886:G2886)*I2886*K2886</f>
        <v>234.4</v>
      </c>
    </row>
    <row r="2887" spans="2:12" ht="15">
      <c r="B2887" s="678"/>
      <c r="C2887" s="19"/>
      <c r="D2887" s="20"/>
      <c r="E2887" s="20"/>
      <c r="F2887" s="20"/>
      <c r="G2887" s="20"/>
      <c r="H2887" s="21"/>
      <c r="I2887" s="28"/>
      <c r="J2887" s="28"/>
      <c r="K2887" s="17"/>
      <c r="L2887" s="649"/>
    </row>
    <row r="2888" spans="2:12" ht="15">
      <c r="B2888" s="709" t="s">
        <v>886</v>
      </c>
      <c r="C2888" s="19"/>
      <c r="D2888" s="20"/>
      <c r="E2888" s="583"/>
      <c r="F2888" s="20"/>
      <c r="G2888" s="20"/>
      <c r="H2888" s="21"/>
      <c r="I2888" s="28"/>
      <c r="J2888" s="28"/>
      <c r="K2888" s="17"/>
      <c r="L2888" s="649"/>
    </row>
    <row r="2889" spans="2:12" ht="15.75" thickBot="1">
      <c r="B2889" s="717" t="s">
        <v>435</v>
      </c>
      <c r="C2889" s="373"/>
      <c r="D2889" s="20"/>
      <c r="E2889" s="20"/>
      <c r="F2889" s="20"/>
      <c r="G2889" s="362"/>
      <c r="H2889" s="21"/>
      <c r="I2889" s="28"/>
      <c r="J2889" s="28"/>
      <c r="K2889" s="17"/>
      <c r="L2889" s="649"/>
    </row>
    <row r="2890" spans="2:12" ht="16.5">
      <c r="B2890" s="662" t="s">
        <v>599</v>
      </c>
      <c r="C2890" s="373"/>
      <c r="D2890" s="20"/>
      <c r="E2890" s="42">
        <f>1.65*18</f>
        <v>29.7</v>
      </c>
      <c r="F2890" s="20"/>
      <c r="G2890" s="362"/>
      <c r="H2890" s="21"/>
      <c r="I2890" s="225">
        <v>2</v>
      </c>
      <c r="J2890" s="28"/>
      <c r="K2890" s="225">
        <v>2</v>
      </c>
      <c r="L2890" s="649">
        <f>(SUM(C2890:H2890))*I2890*K2890</f>
        <v>118.8</v>
      </c>
    </row>
    <row r="2891" spans="2:12" ht="16.5">
      <c r="B2891" s="662" t="s">
        <v>600</v>
      </c>
      <c r="C2891" s="373"/>
      <c r="D2891" s="20"/>
      <c r="E2891" s="42">
        <f>1.35*9+1.65*7</f>
        <v>23.7</v>
      </c>
      <c r="F2891" s="20"/>
      <c r="G2891" s="362"/>
      <c r="H2891" s="21"/>
      <c r="I2891" s="789">
        <v>2</v>
      </c>
      <c r="J2891" s="28"/>
      <c r="K2891" s="789">
        <v>2</v>
      </c>
      <c r="L2891" s="649">
        <f>(SUM(C2891:H2891))*I2891*K2891</f>
        <v>94.8</v>
      </c>
    </row>
    <row r="2892" spans="2:12" ht="16.5">
      <c r="B2892" s="662" t="s">
        <v>601</v>
      </c>
      <c r="C2892" s="373"/>
      <c r="D2892" s="20"/>
      <c r="E2892" s="42">
        <f>1.45*14</f>
        <v>20.3</v>
      </c>
      <c r="F2892" s="20"/>
      <c r="G2892" s="362"/>
      <c r="H2892" s="21"/>
      <c r="I2892" s="789">
        <v>1</v>
      </c>
      <c r="J2892" s="28"/>
      <c r="K2892" s="789">
        <v>2</v>
      </c>
      <c r="L2892" s="649">
        <f>(SUM(C2892:H2892))*I2892*K2892</f>
        <v>40.6</v>
      </c>
    </row>
    <row r="2893" spans="2:12" ht="16.5">
      <c r="B2893" s="662" t="s">
        <v>715</v>
      </c>
      <c r="C2893" s="373"/>
      <c r="D2893" s="20"/>
      <c r="E2893" s="42">
        <f>1.45*10+1.95*7</f>
        <v>28.15</v>
      </c>
      <c r="F2893" s="20"/>
      <c r="G2893" s="362"/>
      <c r="H2893" s="21"/>
      <c r="I2893" s="790">
        <v>1</v>
      </c>
      <c r="J2893" s="28"/>
      <c r="K2893" s="789">
        <v>2</v>
      </c>
      <c r="L2893" s="649">
        <f t="shared" ref="L2893:L2914" si="194">(SUM(C2893:H2893))*I2893*K2893</f>
        <v>56.3</v>
      </c>
    </row>
    <row r="2894" spans="2:12" ht="16.5">
      <c r="B2894" s="662" t="s">
        <v>716</v>
      </c>
      <c r="C2894" s="373"/>
      <c r="D2894" s="20"/>
      <c r="E2894" s="49">
        <f>1.95*20</f>
        <v>39</v>
      </c>
      <c r="F2894" s="20"/>
      <c r="G2894" s="362"/>
      <c r="H2894" s="21"/>
      <c r="I2894" s="790">
        <v>2</v>
      </c>
      <c r="J2894" s="28"/>
      <c r="K2894" s="789">
        <v>2</v>
      </c>
      <c r="L2894" s="649">
        <f>(SUM(C2894:H2894))*I2894*K2894</f>
        <v>156</v>
      </c>
    </row>
    <row r="2895" spans="2:12" ht="15">
      <c r="B2895" s="791" t="s">
        <v>428</v>
      </c>
      <c r="C2895" s="373"/>
      <c r="D2895" s="20"/>
      <c r="E2895" s="20"/>
      <c r="F2895" s="20"/>
      <c r="G2895" s="362"/>
      <c r="H2895" s="21"/>
      <c r="I2895" s="28"/>
      <c r="J2895" s="28"/>
      <c r="K2895" s="28"/>
      <c r="L2895" s="649">
        <f t="shared" si="194"/>
        <v>0</v>
      </c>
    </row>
    <row r="2896" spans="2:12" ht="16.5">
      <c r="B2896" s="792" t="s">
        <v>602</v>
      </c>
      <c r="C2896" s="373"/>
      <c r="D2896" s="42">
        <f>+(13+6+4+6+3)*1.08*0.56</f>
        <v>19.353600000000004</v>
      </c>
      <c r="E2896" s="42">
        <f>4*5.5</f>
        <v>22</v>
      </c>
      <c r="F2896" s="42">
        <f>4*5.5*1.552</f>
        <v>34.143999999999998</v>
      </c>
      <c r="G2896" s="362"/>
      <c r="H2896" s="718"/>
      <c r="I2896" s="28">
        <v>8</v>
      </c>
      <c r="J2896" s="363"/>
      <c r="K2896" s="28">
        <v>2</v>
      </c>
      <c r="L2896" s="649">
        <f t="shared" si="194"/>
        <v>1207.9616000000001</v>
      </c>
    </row>
    <row r="2897" spans="2:12" ht="15">
      <c r="B2897" s="717" t="s">
        <v>605</v>
      </c>
      <c r="C2897" s="373"/>
      <c r="D2897" s="20"/>
      <c r="E2897" s="20"/>
      <c r="F2897" s="20"/>
      <c r="G2897" s="362"/>
      <c r="H2897" s="718"/>
      <c r="I2897" s="28"/>
      <c r="J2897" s="363"/>
      <c r="K2897" s="28"/>
      <c r="L2897" s="649">
        <f t="shared" si="194"/>
        <v>0</v>
      </c>
    </row>
    <row r="2898" spans="2:12" ht="16.5">
      <c r="B2898" s="662" t="s">
        <v>606</v>
      </c>
      <c r="C2898" s="373"/>
      <c r="D2898" s="42">
        <v>13.7</v>
      </c>
      <c r="E2898" s="42" t="s">
        <v>429</v>
      </c>
      <c r="F2898" s="42">
        <v>30.3</v>
      </c>
      <c r="G2898" s="362"/>
      <c r="H2898" s="718"/>
      <c r="I2898" s="226">
        <v>3</v>
      </c>
      <c r="J2898" s="363"/>
      <c r="K2898" s="28">
        <v>2</v>
      </c>
      <c r="L2898" s="649">
        <f t="shared" si="194"/>
        <v>264</v>
      </c>
    </row>
    <row r="2899" spans="2:12" ht="16.5">
      <c r="B2899" s="662" t="s">
        <v>607</v>
      </c>
      <c r="C2899" s="373"/>
      <c r="D2899" s="42">
        <v>16.3</v>
      </c>
      <c r="E2899" s="42" t="s">
        <v>429</v>
      </c>
      <c r="F2899" s="42">
        <v>38.799999999999997</v>
      </c>
      <c r="G2899" s="362"/>
      <c r="H2899" s="718"/>
      <c r="I2899" s="226">
        <v>1</v>
      </c>
      <c r="J2899" s="363"/>
      <c r="K2899" s="28">
        <v>2</v>
      </c>
      <c r="L2899" s="649">
        <f t="shared" si="194"/>
        <v>110.19999999999999</v>
      </c>
    </row>
    <row r="2900" spans="2:12" ht="16.5">
      <c r="B2900" s="662" t="s">
        <v>608</v>
      </c>
      <c r="C2900" s="373"/>
      <c r="D2900" s="42">
        <v>7.4</v>
      </c>
      <c r="E2900" s="42" t="s">
        <v>429</v>
      </c>
      <c r="F2900" s="42">
        <v>17</v>
      </c>
      <c r="G2900" s="362"/>
      <c r="H2900" s="718"/>
      <c r="I2900" s="226">
        <v>1</v>
      </c>
      <c r="J2900" s="363"/>
      <c r="K2900" s="28">
        <v>2</v>
      </c>
      <c r="L2900" s="649">
        <f t="shared" si="194"/>
        <v>48.8</v>
      </c>
    </row>
    <row r="2901" spans="2:12" ht="16.5">
      <c r="B2901" s="662" t="s">
        <v>609</v>
      </c>
      <c r="C2901" s="373"/>
      <c r="D2901" s="42">
        <v>17.899999999999999</v>
      </c>
      <c r="E2901" s="42" t="s">
        <v>429</v>
      </c>
      <c r="F2901" s="42">
        <v>34.1</v>
      </c>
      <c r="G2901" s="362"/>
      <c r="H2901" s="718"/>
      <c r="I2901" s="226">
        <v>1</v>
      </c>
      <c r="J2901" s="363"/>
      <c r="K2901" s="28">
        <v>2</v>
      </c>
      <c r="L2901" s="649">
        <f t="shared" si="194"/>
        <v>104</v>
      </c>
    </row>
    <row r="2902" spans="2:12" ht="16.5">
      <c r="B2902" s="662" t="s">
        <v>610</v>
      </c>
      <c r="C2902" s="373"/>
      <c r="D2902" s="42">
        <v>48.9</v>
      </c>
      <c r="E2902" s="42">
        <v>3</v>
      </c>
      <c r="F2902" s="42">
        <v>85.3</v>
      </c>
      <c r="G2902" s="362"/>
      <c r="H2902" s="718"/>
      <c r="I2902" s="226">
        <v>1</v>
      </c>
      <c r="J2902" s="363"/>
      <c r="K2902" s="28">
        <v>2</v>
      </c>
      <c r="L2902" s="649">
        <f t="shared" si="194"/>
        <v>274.39999999999998</v>
      </c>
    </row>
    <row r="2903" spans="2:12" ht="16.5">
      <c r="B2903" s="662" t="s">
        <v>611</v>
      </c>
      <c r="C2903" s="373"/>
      <c r="D2903" s="42">
        <v>24.2</v>
      </c>
      <c r="E2903" s="42" t="s">
        <v>429</v>
      </c>
      <c r="F2903" s="42">
        <v>38.799999999999997</v>
      </c>
      <c r="G2903" s="362"/>
      <c r="H2903" s="718"/>
      <c r="I2903" s="226">
        <v>1</v>
      </c>
      <c r="J2903" s="363"/>
      <c r="K2903" s="28">
        <v>2</v>
      </c>
      <c r="L2903" s="649">
        <f t="shared" si="194"/>
        <v>126</v>
      </c>
    </row>
    <row r="2904" spans="2:12" ht="16.5">
      <c r="B2904" s="662" t="s">
        <v>612</v>
      </c>
      <c r="C2904" s="373"/>
      <c r="D2904" s="42">
        <v>32.1</v>
      </c>
      <c r="E2904" s="42" t="s">
        <v>429</v>
      </c>
      <c r="F2904" s="42">
        <v>59.8</v>
      </c>
      <c r="G2904" s="362"/>
      <c r="H2904" s="718"/>
      <c r="I2904" s="226">
        <v>1</v>
      </c>
      <c r="J2904" s="363"/>
      <c r="K2904" s="28">
        <v>2</v>
      </c>
      <c r="L2904" s="649">
        <f t="shared" si="194"/>
        <v>183.8</v>
      </c>
    </row>
    <row r="2905" spans="2:12" ht="16.5">
      <c r="B2905" s="662" t="s">
        <v>613</v>
      </c>
      <c r="C2905" s="373"/>
      <c r="D2905" s="42">
        <v>16.8</v>
      </c>
      <c r="E2905" s="42" t="s">
        <v>429</v>
      </c>
      <c r="F2905" s="42">
        <v>34.5</v>
      </c>
      <c r="G2905" s="362"/>
      <c r="H2905" s="718"/>
      <c r="I2905" s="226">
        <v>1</v>
      </c>
      <c r="J2905" s="363"/>
      <c r="K2905" s="28">
        <v>2</v>
      </c>
      <c r="L2905" s="649">
        <f>(SUM(C2905:H2905))*I2905*K2905</f>
        <v>102.6</v>
      </c>
    </row>
    <row r="2906" spans="2:12" ht="17.25" thickBot="1">
      <c r="B2906" s="655"/>
      <c r="C2906" s="373"/>
      <c r="D2906" s="43"/>
      <c r="E2906" s="43"/>
      <c r="F2906" s="43"/>
      <c r="G2906" s="362"/>
      <c r="H2906" s="718"/>
      <c r="I2906" s="28"/>
      <c r="J2906" s="363"/>
      <c r="K2906" s="28"/>
      <c r="L2906" s="649">
        <f t="shared" si="194"/>
        <v>0</v>
      </c>
    </row>
    <row r="2907" spans="2:12" ht="15">
      <c r="B2907" s="793" t="s">
        <v>887</v>
      </c>
      <c r="C2907" s="373"/>
      <c r="D2907" s="20"/>
      <c r="E2907" s="20"/>
      <c r="F2907" s="20"/>
      <c r="G2907" s="362"/>
      <c r="H2907" s="718"/>
      <c r="I2907" s="28"/>
      <c r="J2907" s="363"/>
      <c r="K2907" s="28"/>
      <c r="L2907" s="649">
        <f t="shared" si="194"/>
        <v>0</v>
      </c>
    </row>
    <row r="2908" spans="2:12" ht="16.5">
      <c r="B2908" s="794" t="s">
        <v>625</v>
      </c>
      <c r="C2908" s="373"/>
      <c r="D2908" s="42">
        <v>15.7</v>
      </c>
      <c r="E2908" s="42">
        <v>20</v>
      </c>
      <c r="F2908" s="49" t="s">
        <v>429</v>
      </c>
      <c r="G2908" s="362"/>
      <c r="H2908" s="718"/>
      <c r="I2908" s="227">
        <v>2</v>
      </c>
      <c r="J2908" s="363"/>
      <c r="K2908" s="28">
        <v>2</v>
      </c>
      <c r="L2908" s="649">
        <f>(SUM(C2908:H2908))*I2908*K2908</f>
        <v>142.80000000000001</v>
      </c>
    </row>
    <row r="2909" spans="2:12" ht="16.5">
      <c r="B2909" s="794" t="s">
        <v>626</v>
      </c>
      <c r="C2909" s="373"/>
      <c r="D2909" s="42">
        <v>18.7</v>
      </c>
      <c r="E2909" s="42">
        <v>9.1999999999999993</v>
      </c>
      <c r="F2909" s="49">
        <v>31.4</v>
      </c>
      <c r="G2909" s="362"/>
      <c r="H2909" s="718"/>
      <c r="I2909" s="227">
        <v>1</v>
      </c>
      <c r="J2909" s="363"/>
      <c r="K2909" s="28">
        <v>2</v>
      </c>
      <c r="L2909" s="649">
        <f>(SUM(C2909:H2909))*I2909*K2909</f>
        <v>118.6</v>
      </c>
    </row>
    <row r="2910" spans="2:12" ht="16.5">
      <c r="B2910" s="794" t="s">
        <v>627</v>
      </c>
      <c r="C2910" s="373"/>
      <c r="D2910" s="42">
        <v>18.7</v>
      </c>
      <c r="E2910" s="42">
        <v>27.6</v>
      </c>
      <c r="F2910" s="49" t="s">
        <v>429</v>
      </c>
      <c r="G2910" s="362"/>
      <c r="H2910" s="718"/>
      <c r="I2910" s="227">
        <v>1</v>
      </c>
      <c r="J2910" s="363"/>
      <c r="K2910" s="28">
        <v>2</v>
      </c>
      <c r="L2910" s="649">
        <f t="shared" si="194"/>
        <v>92.6</v>
      </c>
    </row>
    <row r="2911" spans="2:12" ht="16.5">
      <c r="B2911" s="794" t="s">
        <v>628</v>
      </c>
      <c r="C2911" s="373"/>
      <c r="D2911" s="42">
        <v>56.1</v>
      </c>
      <c r="E2911" s="42">
        <v>60.1</v>
      </c>
      <c r="F2911" s="49">
        <v>9.4</v>
      </c>
      <c r="G2911" s="362"/>
      <c r="H2911" s="718"/>
      <c r="I2911" s="227">
        <v>1</v>
      </c>
      <c r="J2911" s="363"/>
      <c r="K2911" s="28">
        <v>2</v>
      </c>
      <c r="L2911" s="649">
        <f t="shared" si="194"/>
        <v>251.20000000000002</v>
      </c>
    </row>
    <row r="2912" spans="2:12" ht="16.5">
      <c r="B2912" s="794" t="s">
        <v>629</v>
      </c>
      <c r="C2912" s="373"/>
      <c r="D2912" s="42">
        <v>36.799999999999997</v>
      </c>
      <c r="E2912" s="42">
        <v>34.6</v>
      </c>
      <c r="F2912" s="49">
        <v>9.4</v>
      </c>
      <c r="G2912" s="362"/>
      <c r="H2912" s="718"/>
      <c r="I2912" s="227">
        <v>1</v>
      </c>
      <c r="J2912" s="363"/>
      <c r="K2912" s="28">
        <v>2</v>
      </c>
      <c r="L2912" s="649">
        <f t="shared" si="194"/>
        <v>161.60000000000002</v>
      </c>
    </row>
    <row r="2913" spans="2:12" ht="16.5">
      <c r="B2913" s="794" t="s">
        <v>630</v>
      </c>
      <c r="C2913" s="373"/>
      <c r="D2913" s="42">
        <v>19.3</v>
      </c>
      <c r="E2913" s="42">
        <v>23.3</v>
      </c>
      <c r="F2913" s="49" t="s">
        <v>429</v>
      </c>
      <c r="G2913" s="362"/>
      <c r="H2913" s="718"/>
      <c r="I2913" s="227">
        <v>1</v>
      </c>
      <c r="J2913" s="363"/>
      <c r="K2913" s="28">
        <v>2</v>
      </c>
      <c r="L2913" s="649">
        <f t="shared" si="194"/>
        <v>85.2</v>
      </c>
    </row>
    <row r="2914" spans="2:12" ht="16.5">
      <c r="B2914" s="794" t="s">
        <v>633</v>
      </c>
      <c r="C2914" s="373"/>
      <c r="D2914" s="42">
        <f>32*0.4*0.56</f>
        <v>7.168000000000001</v>
      </c>
      <c r="E2914" s="42"/>
      <c r="F2914" s="49">
        <f>4.68*2*1.552</f>
        <v>14.526719999999999</v>
      </c>
      <c r="G2914" s="362"/>
      <c r="H2914" s="718"/>
      <c r="I2914" s="227">
        <v>1</v>
      </c>
      <c r="J2914" s="363"/>
      <c r="K2914" s="28">
        <v>2</v>
      </c>
      <c r="L2914" s="649">
        <f t="shared" si="194"/>
        <v>43.38944</v>
      </c>
    </row>
    <row r="2915" spans="2:12" ht="16.5">
      <c r="B2915" s="795" t="s">
        <v>888</v>
      </c>
      <c r="C2915" s="222">
        <f>47*6*2</f>
        <v>564</v>
      </c>
      <c r="D2915" s="42"/>
      <c r="E2915" s="42"/>
      <c r="F2915" s="49"/>
      <c r="G2915" s="362"/>
      <c r="H2915" s="718"/>
      <c r="I2915" s="227">
        <v>1</v>
      </c>
      <c r="J2915" s="363"/>
      <c r="K2915" s="28">
        <v>2</v>
      </c>
      <c r="L2915" s="649">
        <f>(SUM(C2915:H2915))*I2915*K2915</f>
        <v>1128</v>
      </c>
    </row>
    <row r="2916" spans="2:12" ht="15">
      <c r="B2916" s="709" t="s">
        <v>889</v>
      </c>
      <c r="C2916" s="19"/>
      <c r="D2916" s="20"/>
      <c r="E2916" s="583"/>
      <c r="F2916" s="20"/>
      <c r="G2916" s="20"/>
      <c r="H2916" s="21"/>
      <c r="I2916" s="28"/>
      <c r="J2916" s="28"/>
      <c r="K2916" s="17"/>
      <c r="L2916" s="649"/>
    </row>
    <row r="2917" spans="2:12" ht="14.25">
      <c r="B2917" s="796" t="s">
        <v>435</v>
      </c>
      <c r="C2917" s="173"/>
      <c r="D2917" s="173"/>
      <c r="E2917" s="33"/>
      <c r="F2917" s="173"/>
      <c r="G2917" s="173"/>
      <c r="H2917" s="173"/>
      <c r="I2917" s="173"/>
      <c r="J2917" s="173"/>
      <c r="K2917" s="173"/>
      <c r="L2917" s="797"/>
    </row>
    <row r="2918" spans="2:12" ht="15">
      <c r="B2918" s="662" t="s">
        <v>599</v>
      </c>
      <c r="C2918" s="173"/>
      <c r="D2918" s="173"/>
      <c r="E2918" s="33">
        <f>1.65*18</f>
        <v>29.7</v>
      </c>
      <c r="F2918" s="173"/>
      <c r="G2918" s="173"/>
      <c r="H2918" s="173"/>
      <c r="I2918" s="174">
        <v>2</v>
      </c>
      <c r="J2918" s="173"/>
      <c r="K2918" s="174">
        <v>2</v>
      </c>
      <c r="L2918" s="798">
        <f>K2918*I2918*(SUM(C2918:H2918))</f>
        <v>118.8</v>
      </c>
    </row>
    <row r="2919" spans="2:12" ht="15">
      <c r="B2919" s="662" t="s">
        <v>600</v>
      </c>
      <c r="C2919" s="173"/>
      <c r="D2919" s="173"/>
      <c r="E2919" s="33">
        <f>1.35*9+1.65*7</f>
        <v>23.7</v>
      </c>
      <c r="F2919" s="173"/>
      <c r="G2919" s="173"/>
      <c r="H2919" s="173"/>
      <c r="I2919" s="174">
        <v>2</v>
      </c>
      <c r="J2919" s="173"/>
      <c r="K2919" s="174">
        <v>2</v>
      </c>
      <c r="L2919" s="798">
        <f>K2919*I2919*(SUM(C2919:H2919))</f>
        <v>94.8</v>
      </c>
    </row>
    <row r="2920" spans="2:12" ht="15">
      <c r="B2920" s="662" t="s">
        <v>601</v>
      </c>
      <c r="C2920" s="173"/>
      <c r="D2920" s="173"/>
      <c r="E2920" s="33">
        <f>1.45*14</f>
        <v>20.3</v>
      </c>
      <c r="F2920" s="173"/>
      <c r="G2920" s="173"/>
      <c r="H2920" s="173"/>
      <c r="I2920" s="174">
        <v>1</v>
      </c>
      <c r="J2920" s="173"/>
      <c r="K2920" s="174">
        <v>2</v>
      </c>
      <c r="L2920" s="798">
        <f t="shared" ref="L2920:L2942" si="195">K2920*I2920*(SUM(C2920:H2920))</f>
        <v>40.6</v>
      </c>
    </row>
    <row r="2921" spans="2:12" ht="15">
      <c r="B2921" s="662" t="s">
        <v>715</v>
      </c>
      <c r="C2921" s="173"/>
      <c r="D2921" s="173"/>
      <c r="E2921" s="33">
        <f>1.45*10+1.95*7</f>
        <v>28.15</v>
      </c>
      <c r="F2921" s="173"/>
      <c r="G2921" s="173"/>
      <c r="H2921" s="173"/>
      <c r="I2921" s="174">
        <v>1</v>
      </c>
      <c r="J2921" s="173"/>
      <c r="K2921" s="174">
        <v>2</v>
      </c>
      <c r="L2921" s="798">
        <f t="shared" si="195"/>
        <v>56.3</v>
      </c>
    </row>
    <row r="2922" spans="2:12" ht="15">
      <c r="B2922" s="662" t="s">
        <v>716</v>
      </c>
      <c r="C2922" s="173"/>
      <c r="D2922" s="173"/>
      <c r="E2922" s="36">
        <f>1.95*20</f>
        <v>39</v>
      </c>
      <c r="F2922" s="173"/>
      <c r="G2922" s="173"/>
      <c r="H2922" s="173"/>
      <c r="I2922" s="174">
        <v>2</v>
      </c>
      <c r="J2922" s="173"/>
      <c r="K2922" s="174">
        <v>2</v>
      </c>
      <c r="L2922" s="798">
        <f t="shared" si="195"/>
        <v>156</v>
      </c>
    </row>
    <row r="2923" spans="2:12" ht="15">
      <c r="B2923" s="796" t="s">
        <v>428</v>
      </c>
      <c r="C2923" s="173"/>
      <c r="D2923" s="173"/>
      <c r="E2923" s="173"/>
      <c r="F2923" s="173"/>
      <c r="G2923" s="173"/>
      <c r="H2923" s="173"/>
      <c r="I2923" s="174"/>
      <c r="J2923" s="173"/>
      <c r="K2923" s="174"/>
      <c r="L2923" s="798"/>
    </row>
    <row r="2924" spans="2:12" ht="15">
      <c r="B2924" s="792" t="s">
        <v>602</v>
      </c>
      <c r="C2924" s="173"/>
      <c r="D2924" s="33">
        <f>+(13+6+4+6+3)*1.08*0.56</f>
        <v>19.353600000000004</v>
      </c>
      <c r="E2924" s="33">
        <f>4*5.5</f>
        <v>22</v>
      </c>
      <c r="F2924" s="33">
        <f>4*5.5*1.552</f>
        <v>34.143999999999998</v>
      </c>
      <c r="G2924" s="173"/>
      <c r="H2924" s="173"/>
      <c r="I2924" s="174">
        <v>8</v>
      </c>
      <c r="J2924" s="173"/>
      <c r="K2924" s="174">
        <v>2</v>
      </c>
      <c r="L2924" s="798">
        <f>K2924*I2924*(SUM(C2924:H2924))</f>
        <v>1207.9616000000001</v>
      </c>
    </row>
    <row r="2925" spans="2:12" ht="15">
      <c r="B2925" s="796" t="s">
        <v>605</v>
      </c>
      <c r="C2925" s="173"/>
      <c r="D2925" s="173"/>
      <c r="E2925" s="173"/>
      <c r="F2925" s="173"/>
      <c r="G2925" s="173"/>
      <c r="H2925" s="173"/>
      <c r="I2925" s="173"/>
      <c r="J2925" s="173"/>
      <c r="K2925" s="174">
        <v>2</v>
      </c>
      <c r="L2925" s="798"/>
    </row>
    <row r="2926" spans="2:12" ht="16.5">
      <c r="B2926" s="799" t="s">
        <v>614</v>
      </c>
      <c r="C2926" s="173"/>
      <c r="D2926" s="42">
        <v>18.3</v>
      </c>
      <c r="E2926" s="42" t="s">
        <v>429</v>
      </c>
      <c r="F2926" s="42">
        <v>43.5</v>
      </c>
      <c r="G2926" s="173"/>
      <c r="H2926" s="173"/>
      <c r="I2926" s="35">
        <v>3</v>
      </c>
      <c r="J2926" s="173"/>
      <c r="K2926" s="174">
        <v>2</v>
      </c>
      <c r="L2926" s="798">
        <f t="shared" si="195"/>
        <v>370.79999999999995</v>
      </c>
    </row>
    <row r="2927" spans="2:12" ht="16.5">
      <c r="B2927" s="799" t="s">
        <v>615</v>
      </c>
      <c r="C2927" s="173"/>
      <c r="D2927" s="42">
        <v>7.5</v>
      </c>
      <c r="E2927" s="42" t="s">
        <v>429</v>
      </c>
      <c r="F2927" s="42">
        <v>17</v>
      </c>
      <c r="G2927" s="173"/>
      <c r="H2927" s="173"/>
      <c r="I2927" s="35">
        <v>1</v>
      </c>
      <c r="J2927" s="173"/>
      <c r="K2927" s="174">
        <v>2</v>
      </c>
      <c r="L2927" s="798">
        <f t="shared" si="195"/>
        <v>49</v>
      </c>
    </row>
    <row r="2928" spans="2:12" ht="16.149999999999999" customHeight="1">
      <c r="B2928" s="799" t="s">
        <v>616</v>
      </c>
      <c r="C2928" s="173"/>
      <c r="D2928" s="42">
        <v>16.7</v>
      </c>
      <c r="E2928" s="42" t="s">
        <v>429</v>
      </c>
      <c r="F2928" s="42">
        <v>38.799999999999997</v>
      </c>
      <c r="G2928" s="20"/>
      <c r="H2928" s="21"/>
      <c r="I2928" s="35">
        <v>1</v>
      </c>
      <c r="J2928" s="28"/>
      <c r="K2928" s="174">
        <v>2</v>
      </c>
      <c r="L2928" s="798">
        <f t="shared" si="195"/>
        <v>111</v>
      </c>
    </row>
    <row r="2929" spans="2:12" ht="16.149999999999999" customHeight="1">
      <c r="B2929" s="799" t="s">
        <v>617</v>
      </c>
      <c r="C2929" s="173"/>
      <c r="D2929" s="42">
        <v>14</v>
      </c>
      <c r="E2929" s="42">
        <v>6</v>
      </c>
      <c r="F2929" s="42">
        <v>25.6</v>
      </c>
      <c r="G2929" s="20"/>
      <c r="H2929" s="21"/>
      <c r="I2929" s="35">
        <v>1</v>
      </c>
      <c r="J2929" s="28"/>
      <c r="K2929" s="174">
        <v>2</v>
      </c>
      <c r="L2929" s="798">
        <f t="shared" si="195"/>
        <v>91.2</v>
      </c>
    </row>
    <row r="2930" spans="2:12" ht="16.149999999999999" customHeight="1">
      <c r="B2930" s="799" t="s">
        <v>618</v>
      </c>
      <c r="C2930" s="173"/>
      <c r="D2930" s="42">
        <v>45.1</v>
      </c>
      <c r="E2930" s="42" t="s">
        <v>429</v>
      </c>
      <c r="F2930" s="42">
        <v>85.7</v>
      </c>
      <c r="G2930" s="173"/>
      <c r="H2930" s="173"/>
      <c r="I2930" s="35">
        <v>1</v>
      </c>
      <c r="J2930" s="173"/>
      <c r="K2930" s="174">
        <v>2</v>
      </c>
      <c r="L2930" s="798">
        <f t="shared" si="195"/>
        <v>261.60000000000002</v>
      </c>
    </row>
    <row r="2931" spans="2:12" ht="16.149999999999999" customHeight="1">
      <c r="B2931" s="799" t="s">
        <v>619</v>
      </c>
      <c r="C2931" s="173"/>
      <c r="D2931" s="42">
        <v>25.3</v>
      </c>
      <c r="E2931" s="42" t="s">
        <v>429</v>
      </c>
      <c r="F2931" s="42">
        <v>38.6</v>
      </c>
      <c r="G2931" s="173"/>
      <c r="H2931" s="173"/>
      <c r="I2931" s="35">
        <v>1</v>
      </c>
      <c r="J2931" s="173"/>
      <c r="K2931" s="174">
        <v>2</v>
      </c>
      <c r="L2931" s="798">
        <f t="shared" si="195"/>
        <v>127.80000000000001</v>
      </c>
    </row>
    <row r="2932" spans="2:12" ht="16.149999999999999" customHeight="1">
      <c r="B2932" s="799" t="s">
        <v>620</v>
      </c>
      <c r="C2932" s="173"/>
      <c r="D2932" s="42">
        <v>16.7</v>
      </c>
      <c r="E2932" s="42" t="s">
        <v>429</v>
      </c>
      <c r="F2932" s="42">
        <v>29.2</v>
      </c>
      <c r="G2932" s="173"/>
      <c r="H2932" s="173"/>
      <c r="I2932" s="35">
        <v>1</v>
      </c>
      <c r="J2932" s="173"/>
      <c r="K2932" s="174">
        <v>2</v>
      </c>
      <c r="L2932" s="798">
        <f t="shared" si="195"/>
        <v>91.8</v>
      </c>
    </row>
    <row r="2933" spans="2:12" ht="16.149999999999999" customHeight="1">
      <c r="B2933" s="799" t="s">
        <v>621</v>
      </c>
      <c r="C2933" s="173"/>
      <c r="D2933" s="42">
        <v>33.299999999999997</v>
      </c>
      <c r="E2933" s="42">
        <v>6</v>
      </c>
      <c r="F2933" s="42">
        <v>74.2</v>
      </c>
      <c r="G2933" s="173"/>
      <c r="H2933" s="173"/>
      <c r="I2933" s="35">
        <v>1</v>
      </c>
      <c r="J2933" s="173"/>
      <c r="K2933" s="174">
        <v>2</v>
      </c>
      <c r="L2933" s="798">
        <f t="shared" si="195"/>
        <v>227</v>
      </c>
    </row>
    <row r="2934" spans="2:12" ht="16.149999999999999" customHeight="1">
      <c r="B2934" s="655"/>
      <c r="C2934" s="39"/>
      <c r="D2934" s="43"/>
      <c r="E2934" s="43"/>
      <c r="F2934" s="43"/>
      <c r="G2934" s="39"/>
      <c r="H2934" s="39"/>
      <c r="I2934" s="39"/>
      <c r="J2934" s="39"/>
      <c r="K2934" s="174"/>
      <c r="L2934" s="798"/>
    </row>
    <row r="2935" spans="2:12" ht="16.149999999999999" customHeight="1">
      <c r="B2935" s="800" t="s">
        <v>890</v>
      </c>
      <c r="C2935" s="221"/>
      <c r="D2935" s="221"/>
      <c r="E2935" s="221"/>
      <c r="F2935" s="221"/>
      <c r="G2935" s="221"/>
      <c r="H2935" s="221"/>
      <c r="I2935" s="221"/>
      <c r="J2935" s="221"/>
      <c r="K2935" s="174"/>
      <c r="L2935" s="798"/>
    </row>
    <row r="2936" spans="2:12" ht="16.149999999999999" customHeight="1">
      <c r="B2936" s="799" t="s">
        <v>631</v>
      </c>
      <c r="C2936" s="39"/>
      <c r="D2936" s="42">
        <v>18.399999999999999</v>
      </c>
      <c r="E2936" s="42">
        <v>21.2</v>
      </c>
      <c r="F2936" s="49">
        <v>6.2</v>
      </c>
      <c r="G2936" s="39"/>
      <c r="H2936" s="39"/>
      <c r="I2936" s="49">
        <v>2</v>
      </c>
      <c r="J2936" s="39"/>
      <c r="K2936" s="174">
        <v>2</v>
      </c>
      <c r="L2936" s="798">
        <f t="shared" ref="L2936:L2941" si="196">K2936*I2936*(SUM(C2936:H2936))</f>
        <v>183.2</v>
      </c>
    </row>
    <row r="2937" spans="2:12" ht="16.149999999999999" customHeight="1">
      <c r="B2937" s="799" t="s">
        <v>632</v>
      </c>
      <c r="C2937" s="39"/>
      <c r="D2937" s="42">
        <v>18.399999999999999</v>
      </c>
      <c r="E2937" s="42">
        <v>28.2</v>
      </c>
      <c r="F2937" s="49" t="s">
        <v>429</v>
      </c>
      <c r="G2937" s="39"/>
      <c r="H2937" s="39"/>
      <c r="I2937" s="49">
        <v>1</v>
      </c>
      <c r="J2937" s="39"/>
      <c r="K2937" s="174">
        <v>2</v>
      </c>
      <c r="L2937" s="798">
        <f t="shared" si="196"/>
        <v>93.199999999999989</v>
      </c>
    </row>
    <row r="2938" spans="2:12" ht="16.149999999999999" customHeight="1">
      <c r="B2938" s="799" t="s">
        <v>891</v>
      </c>
      <c r="C2938" s="39"/>
      <c r="D2938" s="42">
        <v>18.399999999999999</v>
      </c>
      <c r="E2938" s="42">
        <v>30.2</v>
      </c>
      <c r="F2938" s="49">
        <v>6.2</v>
      </c>
      <c r="G2938" s="39"/>
      <c r="H2938" s="39"/>
      <c r="I2938" s="49">
        <v>1</v>
      </c>
      <c r="J2938" s="39"/>
      <c r="K2938" s="174">
        <v>2</v>
      </c>
      <c r="L2938" s="798">
        <f t="shared" si="196"/>
        <v>109.6</v>
      </c>
    </row>
    <row r="2939" spans="2:12" ht="16.149999999999999" customHeight="1">
      <c r="B2939" s="799" t="s">
        <v>892</v>
      </c>
      <c r="C2939" s="39"/>
      <c r="D2939" s="42">
        <v>15.4</v>
      </c>
      <c r="E2939" s="42">
        <v>23.8</v>
      </c>
      <c r="F2939" s="49" t="s">
        <v>429</v>
      </c>
      <c r="G2939" s="39"/>
      <c r="H2939" s="39"/>
      <c r="I2939" s="49">
        <v>1</v>
      </c>
      <c r="J2939" s="39"/>
      <c r="K2939" s="174">
        <v>2</v>
      </c>
      <c r="L2939" s="798">
        <f t="shared" si="196"/>
        <v>78.400000000000006</v>
      </c>
    </row>
    <row r="2940" spans="2:12" ht="16.149999999999999" customHeight="1">
      <c r="B2940" s="799" t="s">
        <v>893</v>
      </c>
      <c r="C2940" s="39"/>
      <c r="D2940" s="42">
        <v>55.2</v>
      </c>
      <c r="E2940" s="42">
        <v>62.9</v>
      </c>
      <c r="F2940" s="49">
        <v>18.8</v>
      </c>
      <c r="G2940" s="39"/>
      <c r="H2940" s="39"/>
      <c r="I2940" s="49">
        <v>1</v>
      </c>
      <c r="J2940" s="39"/>
      <c r="K2940" s="174">
        <v>2</v>
      </c>
      <c r="L2940" s="798">
        <f t="shared" si="196"/>
        <v>273.8</v>
      </c>
    </row>
    <row r="2941" spans="2:12" ht="16.149999999999999" customHeight="1">
      <c r="B2941" s="799" t="s">
        <v>894</v>
      </c>
      <c r="C2941" s="39"/>
      <c r="D2941" s="42">
        <v>18.399999999999999</v>
      </c>
      <c r="E2941" s="42">
        <v>21.2</v>
      </c>
      <c r="F2941" s="49" t="s">
        <v>429</v>
      </c>
      <c r="G2941" s="39"/>
      <c r="H2941" s="39"/>
      <c r="I2941" s="49">
        <v>1</v>
      </c>
      <c r="J2941" s="39"/>
      <c r="K2941" s="174">
        <v>2</v>
      </c>
      <c r="L2941" s="798">
        <f t="shared" si="196"/>
        <v>79.199999999999989</v>
      </c>
    </row>
    <row r="2942" spans="2:12" ht="16.149999999999999" customHeight="1">
      <c r="B2942" s="799" t="s">
        <v>725</v>
      </c>
      <c r="C2942" s="39"/>
      <c r="D2942" s="42">
        <v>36.799999999999997</v>
      </c>
      <c r="E2942" s="42">
        <v>39.799999999999997</v>
      </c>
      <c r="F2942" s="49">
        <v>9.4</v>
      </c>
      <c r="G2942" s="39"/>
      <c r="H2942" s="39"/>
      <c r="I2942" s="49">
        <v>1</v>
      </c>
      <c r="J2942" s="39"/>
      <c r="K2942" s="174">
        <v>2</v>
      </c>
      <c r="L2942" s="798">
        <f t="shared" si="195"/>
        <v>172</v>
      </c>
    </row>
    <row r="2943" spans="2:12" ht="16.149999999999999" customHeight="1">
      <c r="B2943" s="799" t="s">
        <v>634</v>
      </c>
      <c r="C2943" s="42"/>
      <c r="D2943" s="42">
        <f>31*0.4*0.56</f>
        <v>6.9440000000000008</v>
      </c>
      <c r="E2943" s="42"/>
      <c r="F2943" s="49">
        <f>4.56*2*1.552</f>
        <v>14.15424</v>
      </c>
      <c r="G2943" s="39"/>
      <c r="H2943" s="39"/>
      <c r="I2943" s="49">
        <v>1</v>
      </c>
      <c r="J2943" s="39"/>
      <c r="K2943" s="174">
        <v>2</v>
      </c>
      <c r="L2943" s="798">
        <f>K2943*I2943*(SUM(C2943:H2943))</f>
        <v>42.196480000000001</v>
      </c>
    </row>
    <row r="2944" spans="2:12" ht="16.149999999999999" customHeight="1">
      <c r="B2944" s="801" t="s">
        <v>888</v>
      </c>
      <c r="C2944" s="42">
        <v>588</v>
      </c>
      <c r="D2944" s="39"/>
      <c r="E2944" s="39"/>
      <c r="F2944" s="39"/>
      <c r="G2944" s="39"/>
      <c r="H2944" s="39"/>
      <c r="I2944" s="49"/>
      <c r="J2944" s="39"/>
      <c r="K2944" s="39"/>
      <c r="L2944" s="798"/>
    </row>
    <row r="2945" spans="2:12" ht="16.149999999999999" customHeight="1">
      <c r="B2945" s="802" t="s">
        <v>895</v>
      </c>
      <c r="C2945" s="42"/>
      <c r="D2945" s="39"/>
      <c r="E2945" s="39"/>
      <c r="F2945" s="39"/>
      <c r="G2945" s="39"/>
      <c r="H2945" s="39"/>
      <c r="I2945" s="49"/>
      <c r="J2945" s="803"/>
      <c r="K2945" s="39"/>
      <c r="L2945" s="798"/>
    </row>
    <row r="2946" spans="2:12" ht="16.149999999999999" customHeight="1">
      <c r="B2946" s="804" t="s">
        <v>896</v>
      </c>
      <c r="C2946" s="42"/>
      <c r="D2946" s="39"/>
      <c r="E2946" s="39"/>
      <c r="F2946" s="39"/>
      <c r="G2946" s="39"/>
      <c r="H2946" s="39"/>
      <c r="I2946" s="44"/>
      <c r="J2946" s="803"/>
      <c r="K2946" s="39"/>
      <c r="L2946" s="798"/>
    </row>
    <row r="2947" spans="2:12" ht="16.149999999999999" customHeight="1">
      <c r="B2947" s="799" t="s">
        <v>897</v>
      </c>
      <c r="C2947" s="42">
        <f>8.3*2*6</f>
        <v>99.600000000000009</v>
      </c>
      <c r="D2947" s="39"/>
      <c r="E2947" s="39"/>
      <c r="F2947" s="39"/>
      <c r="G2947" s="39"/>
      <c r="H2947" s="39"/>
      <c r="I2947" s="44">
        <v>19</v>
      </c>
      <c r="J2947" s="803"/>
      <c r="K2947" s="39">
        <v>2</v>
      </c>
      <c r="L2947" s="798">
        <f t="shared" ref="L2947:L2952" si="197">K2947*I2947*(SUM(C2947:H2947))</f>
        <v>3784.8</v>
      </c>
    </row>
    <row r="2948" spans="2:12" ht="16.149999999999999" customHeight="1">
      <c r="B2948" s="799" t="s">
        <v>898</v>
      </c>
      <c r="C2948" s="42">
        <f>5.1*2*6</f>
        <v>61.199999999999996</v>
      </c>
      <c r="D2948" s="39"/>
      <c r="E2948" s="39"/>
      <c r="F2948" s="39"/>
      <c r="G2948" s="39"/>
      <c r="H2948" s="39"/>
      <c r="I2948" s="44">
        <v>2</v>
      </c>
      <c r="J2948" s="803"/>
      <c r="K2948" s="39">
        <v>2</v>
      </c>
      <c r="L2948" s="798">
        <f t="shared" si="197"/>
        <v>244.79999999999998</v>
      </c>
    </row>
    <row r="2949" spans="2:12" ht="16.149999999999999" customHeight="1">
      <c r="B2949" s="799">
        <v>17</v>
      </c>
      <c r="C2949" s="42">
        <f>5.8*2*6</f>
        <v>69.599999999999994</v>
      </c>
      <c r="D2949" s="39"/>
      <c r="E2949" s="39"/>
      <c r="F2949" s="39"/>
      <c r="G2949" s="39"/>
      <c r="H2949" s="39"/>
      <c r="I2949" s="44">
        <v>1</v>
      </c>
      <c r="J2949" s="803"/>
      <c r="K2949" s="39">
        <v>2</v>
      </c>
      <c r="L2949" s="798">
        <f t="shared" si="197"/>
        <v>139.19999999999999</v>
      </c>
    </row>
    <row r="2950" spans="2:12" ht="16.149999999999999" customHeight="1">
      <c r="B2950" s="799" t="s">
        <v>899</v>
      </c>
      <c r="C2950" s="42">
        <f>+(18.6*2+18.6+18.6+1.5)*2.35*6*2</f>
        <v>2140.38</v>
      </c>
      <c r="D2950" s="39"/>
      <c r="E2950" s="39"/>
      <c r="F2950" s="39"/>
      <c r="G2950" s="39"/>
      <c r="H2950" s="39"/>
      <c r="I2950" s="44">
        <v>1</v>
      </c>
      <c r="J2950" s="803"/>
      <c r="K2950" s="39">
        <v>2</v>
      </c>
      <c r="L2950" s="798">
        <f t="shared" si="197"/>
        <v>4280.76</v>
      </c>
    </row>
    <row r="2951" spans="2:12" ht="16.149999999999999" customHeight="1">
      <c r="B2951" s="799" t="s">
        <v>900</v>
      </c>
      <c r="C2951" s="42">
        <f>+((17.1+30)*1.45+9*2)*6*2</f>
        <v>1035.54</v>
      </c>
      <c r="D2951" s="39"/>
      <c r="E2951" s="39"/>
      <c r="F2951" s="39"/>
      <c r="G2951" s="39"/>
      <c r="H2951" s="39"/>
      <c r="I2951" s="44">
        <v>1</v>
      </c>
      <c r="J2951" s="803"/>
      <c r="K2951" s="39">
        <v>2</v>
      </c>
      <c r="L2951" s="798">
        <f t="shared" si="197"/>
        <v>2071.08</v>
      </c>
    </row>
    <row r="2952" spans="2:12" ht="16.149999999999999" customHeight="1">
      <c r="B2952" s="799" t="s">
        <v>901</v>
      </c>
      <c r="C2952" s="42">
        <f>+(17.1*2+15+19+15+19)*6*2</f>
        <v>1226.4000000000001</v>
      </c>
      <c r="D2952" s="39"/>
      <c r="E2952" s="39"/>
      <c r="F2952" s="39"/>
      <c r="G2952" s="39"/>
      <c r="H2952" s="39"/>
      <c r="I2952" s="44">
        <v>1</v>
      </c>
      <c r="J2952" s="803"/>
      <c r="K2952" s="39">
        <v>2</v>
      </c>
      <c r="L2952" s="798">
        <f t="shared" si="197"/>
        <v>2452.8000000000002</v>
      </c>
    </row>
    <row r="2953" spans="2:12" ht="16.149999999999999" customHeight="1">
      <c r="B2953" s="796" t="s">
        <v>605</v>
      </c>
      <c r="C2953" s="39"/>
      <c r="D2953" s="39"/>
      <c r="E2953" s="39"/>
      <c r="F2953" s="39"/>
      <c r="G2953" s="39"/>
      <c r="H2953" s="39"/>
      <c r="I2953" s="49"/>
      <c r="J2953" s="803"/>
      <c r="K2953" s="39"/>
      <c r="L2953" s="798"/>
    </row>
    <row r="2954" spans="2:12" ht="16.149999999999999" customHeight="1">
      <c r="B2954" s="799" t="s">
        <v>606</v>
      </c>
      <c r="C2954" s="39"/>
      <c r="D2954" s="42">
        <f>186*1.05*0.56</f>
        <v>109.36800000000002</v>
      </c>
      <c r="E2954" s="42">
        <f>+(2+3+6+8.1+9+8.1+6)*3</f>
        <v>126.60000000000001</v>
      </c>
      <c r="F2954" s="39"/>
      <c r="G2954" s="39"/>
      <c r="H2954" s="39"/>
      <c r="I2954" s="44">
        <v>4</v>
      </c>
      <c r="J2954" s="803"/>
      <c r="K2954" s="39">
        <v>2</v>
      </c>
      <c r="L2954" s="798">
        <f t="shared" ref="L2954:L2959" si="198">K2954*I2954*(SUM(C2954:H2954))</f>
        <v>1887.7440000000001</v>
      </c>
    </row>
    <row r="2955" spans="2:12" ht="16.149999999999999" customHeight="1">
      <c r="B2955" s="799" t="s">
        <v>607</v>
      </c>
      <c r="C2955" s="39"/>
      <c r="D2955" s="42">
        <f>44*1.05*0.56</f>
        <v>25.872000000000003</v>
      </c>
      <c r="E2955" s="42">
        <f>4.65*6</f>
        <v>27.900000000000002</v>
      </c>
      <c r="F2955" s="39"/>
      <c r="G2955" s="39"/>
      <c r="H2955" s="39"/>
      <c r="I2955" s="44">
        <v>6</v>
      </c>
      <c r="J2955" s="803"/>
      <c r="K2955" s="39">
        <v>2</v>
      </c>
      <c r="L2955" s="798">
        <f t="shared" si="198"/>
        <v>645.26400000000012</v>
      </c>
    </row>
    <row r="2956" spans="2:12" ht="16.149999999999999" customHeight="1">
      <c r="B2956" s="799" t="s">
        <v>608</v>
      </c>
      <c r="C2956" s="39"/>
      <c r="D2956" s="42">
        <f>44*1.25*0.56</f>
        <v>30.800000000000004</v>
      </c>
      <c r="E2956" s="42">
        <f>4.65*6</f>
        <v>27.900000000000002</v>
      </c>
      <c r="F2956" s="39"/>
      <c r="G2956" s="39"/>
      <c r="H2956" s="39"/>
      <c r="I2956" s="44">
        <v>17</v>
      </c>
      <c r="J2956" s="803"/>
      <c r="K2956" s="39">
        <v>2</v>
      </c>
      <c r="L2956" s="798">
        <f t="shared" si="198"/>
        <v>1995.8000000000002</v>
      </c>
    </row>
    <row r="2957" spans="2:12" ht="16.149999999999999" customHeight="1">
      <c r="B2957" s="799" t="s">
        <v>609</v>
      </c>
      <c r="C2957" s="39"/>
      <c r="D2957" s="42">
        <f>142*1.05*0.56</f>
        <v>83.496000000000009</v>
      </c>
      <c r="E2957" s="42">
        <f>+(3+9+3.7+6+3.7+6)*3</f>
        <v>94.199999999999989</v>
      </c>
      <c r="F2957" s="39"/>
      <c r="G2957" s="39"/>
      <c r="H2957" s="39"/>
      <c r="I2957" s="44">
        <v>2</v>
      </c>
      <c r="J2957" s="803"/>
      <c r="K2957" s="39">
        <v>2</v>
      </c>
      <c r="L2957" s="798">
        <f t="shared" si="198"/>
        <v>710.78399999999999</v>
      </c>
    </row>
    <row r="2958" spans="2:12" ht="16.149999999999999" customHeight="1">
      <c r="B2958" s="799" t="s">
        <v>610</v>
      </c>
      <c r="C2958" s="39"/>
      <c r="D2958" s="42">
        <f>48*0.56*1.05</f>
        <v>28.224000000000004</v>
      </c>
      <c r="E2958" s="42">
        <f>5.03*6</f>
        <v>30.18</v>
      </c>
      <c r="F2958" s="39"/>
      <c r="G2958" s="39"/>
      <c r="H2958" s="39"/>
      <c r="I2958" s="44">
        <v>2</v>
      </c>
      <c r="J2958" s="803"/>
      <c r="K2958" s="39">
        <v>2</v>
      </c>
      <c r="L2958" s="798">
        <f t="shared" si="198"/>
        <v>233.61600000000001</v>
      </c>
    </row>
    <row r="2959" spans="2:12" ht="16.149999999999999" customHeight="1">
      <c r="B2959" s="799" t="s">
        <v>611</v>
      </c>
      <c r="C2959" s="39"/>
      <c r="D2959" s="42">
        <f>25*1.05*0.56</f>
        <v>14.700000000000001</v>
      </c>
      <c r="E2959" s="42">
        <f>2.75*6</f>
        <v>16.5</v>
      </c>
      <c r="F2959" s="39"/>
      <c r="G2959" s="39"/>
      <c r="H2959" s="39"/>
      <c r="I2959" s="44">
        <v>1</v>
      </c>
      <c r="J2959" s="803"/>
      <c r="K2959" s="39">
        <v>2</v>
      </c>
      <c r="L2959" s="798">
        <f t="shared" si="198"/>
        <v>62.400000000000006</v>
      </c>
    </row>
    <row r="2960" spans="2:12" ht="16.149999999999999" customHeight="1">
      <c r="B2960" s="799" t="s">
        <v>612</v>
      </c>
      <c r="C2960" s="39"/>
      <c r="D2960" s="42">
        <f>14*1.05*0.56</f>
        <v>8.2320000000000011</v>
      </c>
      <c r="E2960" s="42">
        <f>1.7*6</f>
        <v>10.199999999999999</v>
      </c>
      <c r="F2960" s="39"/>
      <c r="G2960" s="39"/>
      <c r="H2960" s="39"/>
      <c r="I2960" s="44">
        <v>3</v>
      </c>
      <c r="J2960" s="803"/>
      <c r="K2960" s="39">
        <v>2</v>
      </c>
      <c r="L2960" s="798">
        <f t="shared" ref="L2960:L2963" si="199">K2960*I2960*(SUM(C2960:H2960))</f>
        <v>110.59200000000001</v>
      </c>
    </row>
    <row r="2961" spans="2:12" ht="16.149999999999999" customHeight="1">
      <c r="B2961" s="799" t="s">
        <v>613</v>
      </c>
      <c r="C2961" s="42"/>
      <c r="D2961" s="42">
        <f>73*1.05*0.56</f>
        <v>42.924000000000007</v>
      </c>
      <c r="E2961" s="42">
        <f>7.6*6</f>
        <v>45.599999999999994</v>
      </c>
      <c r="F2961" s="39"/>
      <c r="G2961" s="39"/>
      <c r="H2961" s="39"/>
      <c r="I2961" s="44">
        <v>2</v>
      </c>
      <c r="J2961" s="803"/>
      <c r="K2961" s="39">
        <v>2</v>
      </c>
      <c r="L2961" s="798">
        <f t="shared" si="199"/>
        <v>354.096</v>
      </c>
    </row>
    <row r="2962" spans="2:12" ht="16.149999999999999" customHeight="1">
      <c r="B2962" s="799" t="s">
        <v>614</v>
      </c>
      <c r="C2962" s="39"/>
      <c r="D2962" s="42">
        <f>144*1.05*0.56</f>
        <v>84.672000000000011</v>
      </c>
      <c r="E2962" s="42">
        <f>+(3+6+9+4+6+3.7)*3</f>
        <v>95.1</v>
      </c>
      <c r="F2962" s="39"/>
      <c r="G2962" s="39"/>
      <c r="H2962" s="39"/>
      <c r="I2962" s="44">
        <v>1</v>
      </c>
      <c r="J2962" s="803"/>
      <c r="K2962" s="39">
        <v>2</v>
      </c>
      <c r="L2962" s="798">
        <f t="shared" si="199"/>
        <v>359.54399999999998</v>
      </c>
    </row>
    <row r="2963" spans="2:12" ht="16.149999999999999" customHeight="1">
      <c r="B2963" s="799" t="s">
        <v>615</v>
      </c>
      <c r="C2963" s="39"/>
      <c r="D2963" s="42">
        <f>86*0.56*1.05</f>
        <v>50.568000000000005</v>
      </c>
      <c r="E2963" s="42">
        <f>8.85*6</f>
        <v>53.099999999999994</v>
      </c>
      <c r="F2963" s="39"/>
      <c r="G2963" s="39"/>
      <c r="H2963" s="39"/>
      <c r="I2963" s="44">
        <v>2</v>
      </c>
      <c r="J2963" s="803"/>
      <c r="K2963" s="39">
        <v>2</v>
      </c>
      <c r="L2963" s="798">
        <f t="shared" si="199"/>
        <v>414.67200000000003</v>
      </c>
    </row>
    <row r="2964" spans="2:12" ht="16.149999999999999" customHeight="1">
      <c r="B2964" s="799" t="s">
        <v>616</v>
      </c>
      <c r="C2964" s="39"/>
      <c r="D2964" s="42">
        <f>105*0.56*1.05</f>
        <v>61.740000000000009</v>
      </c>
      <c r="E2964" s="42">
        <f>+(8.4+3+6+5.4)*3</f>
        <v>68.399999999999991</v>
      </c>
      <c r="F2964" s="39"/>
      <c r="G2964" s="39"/>
      <c r="H2964" s="39"/>
      <c r="I2964" s="44">
        <v>1</v>
      </c>
      <c r="J2964" s="803"/>
      <c r="K2964" s="39">
        <v>2</v>
      </c>
      <c r="L2964" s="798">
        <f>K2964*I2964*(SUM(C2964:H2964))</f>
        <v>260.27999999999997</v>
      </c>
    </row>
    <row r="2965" spans="2:12" ht="16.149999999999999" customHeight="1">
      <c r="B2965" s="799" t="s">
        <v>617</v>
      </c>
      <c r="C2965" s="39"/>
      <c r="D2965" s="42">
        <f>25*1.05*0.56</f>
        <v>14.700000000000001</v>
      </c>
      <c r="E2965" s="42">
        <f>2.75*6</f>
        <v>16.5</v>
      </c>
      <c r="F2965" s="39"/>
      <c r="G2965" s="39"/>
      <c r="H2965" s="39"/>
      <c r="I2965" s="44">
        <v>1</v>
      </c>
      <c r="J2965" s="803"/>
      <c r="K2965" s="39">
        <v>2</v>
      </c>
      <c r="L2965" s="798">
        <f>K2965*I2965*(SUM(C2965:H2965))</f>
        <v>62.400000000000006</v>
      </c>
    </row>
    <row r="2966" spans="2:12" ht="16.149999999999999" customHeight="1">
      <c r="B2966" s="799" t="s">
        <v>618</v>
      </c>
      <c r="C2966" s="39"/>
      <c r="D2966" s="42">
        <f>37*1.05*0.56</f>
        <v>21.756000000000004</v>
      </c>
      <c r="E2966" s="42">
        <f>4*6</f>
        <v>24</v>
      </c>
      <c r="F2966" s="39"/>
      <c r="G2966" s="39"/>
      <c r="H2966" s="39"/>
      <c r="I2966" s="44">
        <v>1</v>
      </c>
      <c r="J2966" s="803"/>
      <c r="K2966" s="39">
        <v>2</v>
      </c>
      <c r="L2966" s="798">
        <f>K2966*I2966*(SUM(C2966:H2966))</f>
        <v>91.512</v>
      </c>
    </row>
    <row r="2967" spans="2:12" ht="16.149999999999999" customHeight="1">
      <c r="B2967" s="655"/>
      <c r="C2967" s="39"/>
      <c r="D2967" s="39"/>
      <c r="E2967" s="39"/>
      <c r="F2967" s="39"/>
      <c r="G2967" s="39"/>
      <c r="H2967" s="39"/>
      <c r="I2967" s="49"/>
      <c r="J2967" s="803"/>
      <c r="K2967" s="39"/>
      <c r="L2967" s="798"/>
    </row>
    <row r="2968" spans="2:12" ht="16.149999999999999" customHeight="1">
      <c r="B2968" s="800" t="s">
        <v>902</v>
      </c>
      <c r="C2968" s="39"/>
      <c r="D2968" s="39"/>
      <c r="E2968" s="39"/>
      <c r="F2968" s="39"/>
      <c r="G2968" s="39"/>
      <c r="H2968" s="39"/>
      <c r="I2968" s="49"/>
      <c r="J2968" s="803"/>
      <c r="K2968" s="39"/>
      <c r="L2968" s="798"/>
    </row>
    <row r="2969" spans="2:12" ht="16.149999999999999" customHeight="1">
      <c r="B2969" s="799" t="s">
        <v>625</v>
      </c>
      <c r="C2969" s="39"/>
      <c r="D2969" s="42">
        <f>189*0.56*0.95</f>
        <v>100.548</v>
      </c>
      <c r="E2969" s="42">
        <f>+(6+3.5+9+3.5+8.1+6)*3</f>
        <v>108.30000000000001</v>
      </c>
      <c r="F2969" s="39"/>
      <c r="G2969" s="39"/>
      <c r="H2969" s="39"/>
      <c r="I2969" s="49">
        <v>4</v>
      </c>
      <c r="J2969" s="803"/>
      <c r="K2969" s="39">
        <v>2</v>
      </c>
      <c r="L2969" s="798">
        <f>K2969*I2969*(SUM(C2969:H2969))</f>
        <v>1670.7840000000001</v>
      </c>
    </row>
    <row r="2970" spans="2:12" ht="16.149999999999999" customHeight="1">
      <c r="B2970" s="799" t="s">
        <v>626</v>
      </c>
      <c r="C2970" s="42"/>
      <c r="D2970" s="42">
        <f>158*0.95*0.56</f>
        <v>84.056000000000012</v>
      </c>
      <c r="E2970" s="42">
        <f>+(6+3.7+6+3.7+9+3)*3</f>
        <v>94.199999999999989</v>
      </c>
      <c r="F2970" s="39"/>
      <c r="G2970" s="39"/>
      <c r="H2970" s="39"/>
      <c r="I2970" s="49">
        <v>1</v>
      </c>
      <c r="J2970" s="803"/>
      <c r="K2970" s="39">
        <v>2</v>
      </c>
      <c r="L2970" s="798">
        <f>K2970*I2970*(SUM(C2970:H2970))</f>
        <v>356.512</v>
      </c>
    </row>
    <row r="2971" spans="2:12" ht="16.149999999999999" customHeight="1">
      <c r="B2971" s="799" t="s">
        <v>627</v>
      </c>
      <c r="C2971" s="39"/>
      <c r="D2971" s="42">
        <f>206*0.56*0.95</f>
        <v>109.59200000000001</v>
      </c>
      <c r="E2971" s="42">
        <f>+(9+5.1+6+3+9+8.1)*3</f>
        <v>120.60000000000001</v>
      </c>
      <c r="F2971" s="39"/>
      <c r="G2971" s="39"/>
      <c r="H2971" s="39"/>
      <c r="I2971" s="49">
        <v>1</v>
      </c>
      <c r="J2971" s="803"/>
      <c r="K2971" s="39">
        <v>2</v>
      </c>
      <c r="L2971" s="798">
        <f>K2971*I2971*(SUM(C2971:H2971))</f>
        <v>460.38400000000001</v>
      </c>
    </row>
    <row r="2972" spans="2:12" ht="16.149999999999999" customHeight="1">
      <c r="B2972" s="799" t="s">
        <v>628</v>
      </c>
      <c r="C2972" s="39"/>
      <c r="D2972" s="42">
        <f>160*0.95*0.56</f>
        <v>85.12</v>
      </c>
      <c r="E2972" s="42">
        <f>+(6+4+6+4+9+3)*3</f>
        <v>96</v>
      </c>
      <c r="F2972" s="39"/>
      <c r="G2972" s="39"/>
      <c r="H2972" s="39"/>
      <c r="I2972" s="49">
        <v>1</v>
      </c>
      <c r="J2972" s="803"/>
      <c r="K2972" s="39">
        <v>2</v>
      </c>
      <c r="L2972" s="798">
        <f>K2972*I2972*(SUM(C2972:H2972))</f>
        <v>362.24</v>
      </c>
    </row>
    <row r="2973" spans="2:12" ht="16.149999999999999" customHeight="1">
      <c r="B2973" s="799" t="s">
        <v>629</v>
      </c>
      <c r="C2973" s="39"/>
      <c r="D2973" s="42">
        <f>206*0.56*0.95</f>
        <v>109.59200000000001</v>
      </c>
      <c r="E2973" s="42">
        <f>+(6+8+6+8.1+9+3)*3</f>
        <v>120.30000000000001</v>
      </c>
      <c r="F2973" s="39"/>
      <c r="G2973" s="39"/>
      <c r="H2973" s="39"/>
      <c r="I2973" s="49">
        <v>1</v>
      </c>
      <c r="J2973" s="803"/>
      <c r="K2973" s="39">
        <v>2</v>
      </c>
      <c r="L2973" s="798">
        <f>K2973*I2973*(SUM(C2973:H2973))</f>
        <v>459.78400000000005</v>
      </c>
    </row>
    <row r="2974" spans="2:12" ht="16.149999999999999" customHeight="1">
      <c r="B2974" s="799"/>
      <c r="C2974" s="39"/>
      <c r="D2974" s="42"/>
      <c r="E2974" s="42"/>
      <c r="F2974" s="39"/>
      <c r="G2974" s="39"/>
      <c r="H2974" s="39"/>
      <c r="I2974" s="49"/>
      <c r="J2974" s="803"/>
      <c r="K2974" s="39"/>
      <c r="L2974" s="798"/>
    </row>
    <row r="2975" spans="2:12" ht="16.149999999999999" customHeight="1">
      <c r="B2975" s="709" t="s">
        <v>903</v>
      </c>
      <c r="C2975" s="19"/>
      <c r="D2975" s="20"/>
      <c r="E2975" s="583"/>
      <c r="F2975" s="20"/>
      <c r="G2975" s="20"/>
      <c r="H2975" s="21"/>
      <c r="I2975" s="28"/>
      <c r="J2975" s="28"/>
      <c r="K2975" s="17"/>
      <c r="L2975" s="649"/>
    </row>
    <row r="2976" spans="2:12" ht="16.149999999999999" customHeight="1" thickBot="1">
      <c r="B2976" s="717" t="s">
        <v>435</v>
      </c>
      <c r="C2976" s="373"/>
      <c r="D2976" s="20"/>
      <c r="E2976" s="20"/>
      <c r="F2976" s="20"/>
      <c r="G2976" s="362"/>
      <c r="H2976" s="21"/>
      <c r="I2976" s="28"/>
      <c r="J2976" s="28"/>
      <c r="K2976" s="17"/>
      <c r="L2976" s="649"/>
    </row>
    <row r="2977" spans="2:12" ht="16.149999999999999" customHeight="1">
      <c r="B2977" s="662" t="s">
        <v>599</v>
      </c>
      <c r="C2977" s="373"/>
      <c r="D2977" s="20"/>
      <c r="E2977" s="42">
        <f>1.65*18</f>
        <v>29.7</v>
      </c>
      <c r="F2977" s="20"/>
      <c r="G2977" s="362"/>
      <c r="H2977" s="21"/>
      <c r="I2977" s="225">
        <v>2</v>
      </c>
      <c r="J2977" s="28"/>
      <c r="K2977" s="225">
        <v>4</v>
      </c>
      <c r="L2977" s="649">
        <f>(SUM(C2977:H2977))*I2977*K2977</f>
        <v>237.6</v>
      </c>
    </row>
    <row r="2978" spans="2:12" ht="16.149999999999999" customHeight="1">
      <c r="B2978" s="662" t="s">
        <v>600</v>
      </c>
      <c r="C2978" s="373"/>
      <c r="D2978" s="20"/>
      <c r="E2978" s="42">
        <f>1.35*9+1.65*7</f>
        <v>23.7</v>
      </c>
      <c r="F2978" s="20"/>
      <c r="G2978" s="362"/>
      <c r="H2978" s="21"/>
      <c r="I2978" s="789">
        <v>2</v>
      </c>
      <c r="J2978" s="28"/>
      <c r="K2978" s="789">
        <v>4</v>
      </c>
      <c r="L2978" s="649">
        <f t="shared" ref="L2978:L3002" si="200">(SUM(C2978:H2978))*I2978*K2978</f>
        <v>189.6</v>
      </c>
    </row>
    <row r="2979" spans="2:12" ht="16.149999999999999" customHeight="1">
      <c r="B2979" s="662" t="s">
        <v>601</v>
      </c>
      <c r="C2979" s="373"/>
      <c r="D2979" s="20"/>
      <c r="E2979" s="42">
        <f>1.45*14</f>
        <v>20.3</v>
      </c>
      <c r="F2979" s="20"/>
      <c r="G2979" s="362"/>
      <c r="H2979" s="21"/>
      <c r="I2979" s="789">
        <v>1</v>
      </c>
      <c r="J2979" s="28"/>
      <c r="K2979" s="789">
        <v>4</v>
      </c>
      <c r="L2979" s="649">
        <f t="shared" si="200"/>
        <v>81.2</v>
      </c>
    </row>
    <row r="2980" spans="2:12" ht="16.149999999999999" customHeight="1">
      <c r="B2980" s="662" t="s">
        <v>715</v>
      </c>
      <c r="C2980" s="373"/>
      <c r="D2980" s="20"/>
      <c r="E2980" s="42">
        <f>1.45*10+1.95*7</f>
        <v>28.15</v>
      </c>
      <c r="F2980" s="20"/>
      <c r="G2980" s="362"/>
      <c r="H2980" s="21"/>
      <c r="I2980" s="790">
        <v>1</v>
      </c>
      <c r="J2980" s="28"/>
      <c r="K2980" s="789">
        <v>4</v>
      </c>
      <c r="L2980" s="649">
        <f t="shared" si="200"/>
        <v>112.6</v>
      </c>
    </row>
    <row r="2981" spans="2:12" ht="16.149999999999999" customHeight="1">
      <c r="B2981" s="662" t="s">
        <v>716</v>
      </c>
      <c r="C2981" s="373"/>
      <c r="D2981" s="20"/>
      <c r="E2981" s="49">
        <f>1.95*20</f>
        <v>39</v>
      </c>
      <c r="F2981" s="20"/>
      <c r="G2981" s="362"/>
      <c r="H2981" s="21"/>
      <c r="I2981" s="790">
        <v>2</v>
      </c>
      <c r="J2981" s="28"/>
      <c r="K2981" s="789">
        <v>4</v>
      </c>
      <c r="L2981" s="649">
        <f t="shared" si="200"/>
        <v>312</v>
      </c>
    </row>
    <row r="2982" spans="2:12" ht="16.149999999999999" customHeight="1">
      <c r="B2982" s="791" t="s">
        <v>428</v>
      </c>
      <c r="C2982" s="373"/>
      <c r="D2982" s="20"/>
      <c r="E2982" s="20"/>
      <c r="F2982" s="20"/>
      <c r="G2982" s="362"/>
      <c r="H2982" s="21"/>
      <c r="I2982" s="28"/>
      <c r="J2982" s="28"/>
      <c r="K2982" s="28"/>
      <c r="L2982" s="649">
        <f t="shared" si="200"/>
        <v>0</v>
      </c>
    </row>
    <row r="2983" spans="2:12" ht="16.149999999999999" customHeight="1">
      <c r="B2983" s="792" t="s">
        <v>602</v>
      </c>
      <c r="C2983" s="373"/>
      <c r="D2983" s="42">
        <f>+(13+6+4+6+3)*1.08*0.56</f>
        <v>19.353600000000004</v>
      </c>
      <c r="E2983" s="42">
        <f>4*5.5</f>
        <v>22</v>
      </c>
      <c r="F2983" s="42">
        <f>4*5.5*1.552</f>
        <v>34.143999999999998</v>
      </c>
      <c r="G2983" s="362"/>
      <c r="H2983" s="718"/>
      <c r="I2983" s="28">
        <v>8</v>
      </c>
      <c r="J2983" s="363"/>
      <c r="K2983" s="28">
        <v>4</v>
      </c>
      <c r="L2983" s="649">
        <f t="shared" si="200"/>
        <v>2415.9232000000002</v>
      </c>
    </row>
    <row r="2984" spans="2:12" ht="16.149999999999999" customHeight="1">
      <c r="B2984" s="717" t="s">
        <v>605</v>
      </c>
      <c r="C2984" s="373"/>
      <c r="D2984" s="20"/>
      <c r="E2984" s="20"/>
      <c r="F2984" s="20"/>
      <c r="G2984" s="362"/>
      <c r="H2984" s="718"/>
      <c r="I2984" s="28"/>
      <c r="J2984" s="363"/>
      <c r="K2984" s="28"/>
      <c r="L2984" s="649">
        <f t="shared" si="200"/>
        <v>0</v>
      </c>
    </row>
    <row r="2985" spans="2:12" ht="16.149999999999999" customHeight="1">
      <c r="B2985" s="662" t="s">
        <v>606</v>
      </c>
      <c r="C2985" s="373"/>
      <c r="D2985" s="42">
        <v>13.7</v>
      </c>
      <c r="E2985" s="42" t="s">
        <v>429</v>
      </c>
      <c r="F2985" s="42">
        <v>30.3</v>
      </c>
      <c r="G2985" s="362"/>
      <c r="H2985" s="718"/>
      <c r="I2985" s="226">
        <v>3</v>
      </c>
      <c r="J2985" s="363"/>
      <c r="K2985" s="28">
        <v>4</v>
      </c>
      <c r="L2985" s="649">
        <f t="shared" si="200"/>
        <v>528</v>
      </c>
    </row>
    <row r="2986" spans="2:12" ht="16.149999999999999" customHeight="1">
      <c r="B2986" s="662" t="s">
        <v>607</v>
      </c>
      <c r="C2986" s="373"/>
      <c r="D2986" s="42">
        <v>16.3</v>
      </c>
      <c r="E2986" s="42" t="s">
        <v>429</v>
      </c>
      <c r="F2986" s="42">
        <v>38.799999999999997</v>
      </c>
      <c r="G2986" s="362"/>
      <c r="H2986" s="718"/>
      <c r="I2986" s="226">
        <v>1</v>
      </c>
      <c r="J2986" s="363"/>
      <c r="K2986" s="28">
        <v>4</v>
      </c>
      <c r="L2986" s="649">
        <f t="shared" si="200"/>
        <v>220.39999999999998</v>
      </c>
    </row>
    <row r="2987" spans="2:12" ht="16.149999999999999" customHeight="1">
      <c r="B2987" s="662" t="s">
        <v>608</v>
      </c>
      <c r="C2987" s="373"/>
      <c r="D2987" s="42">
        <v>7.4</v>
      </c>
      <c r="E2987" s="42" t="s">
        <v>429</v>
      </c>
      <c r="F2987" s="42">
        <v>17</v>
      </c>
      <c r="G2987" s="362"/>
      <c r="H2987" s="718"/>
      <c r="I2987" s="226">
        <v>1</v>
      </c>
      <c r="J2987" s="363"/>
      <c r="K2987" s="28">
        <v>4</v>
      </c>
      <c r="L2987" s="649">
        <f t="shared" si="200"/>
        <v>97.6</v>
      </c>
    </row>
    <row r="2988" spans="2:12" ht="16.149999999999999" customHeight="1">
      <c r="B2988" s="662" t="s">
        <v>609</v>
      </c>
      <c r="C2988" s="373"/>
      <c r="D2988" s="42">
        <v>17.899999999999999</v>
      </c>
      <c r="E2988" s="42" t="s">
        <v>429</v>
      </c>
      <c r="F2988" s="42">
        <v>34.1</v>
      </c>
      <c r="G2988" s="362"/>
      <c r="H2988" s="718"/>
      <c r="I2988" s="226">
        <v>1</v>
      </c>
      <c r="J2988" s="363"/>
      <c r="K2988" s="28">
        <v>4</v>
      </c>
      <c r="L2988" s="649">
        <f t="shared" si="200"/>
        <v>208</v>
      </c>
    </row>
    <row r="2989" spans="2:12" ht="16.149999999999999" customHeight="1">
      <c r="B2989" s="662" t="s">
        <v>610</v>
      </c>
      <c r="C2989" s="373"/>
      <c r="D2989" s="42">
        <v>48.9</v>
      </c>
      <c r="E2989" s="42">
        <v>3</v>
      </c>
      <c r="F2989" s="42">
        <v>85.3</v>
      </c>
      <c r="G2989" s="362"/>
      <c r="H2989" s="718"/>
      <c r="I2989" s="226">
        <v>1</v>
      </c>
      <c r="J2989" s="363"/>
      <c r="K2989" s="28">
        <v>4</v>
      </c>
      <c r="L2989" s="649">
        <f t="shared" si="200"/>
        <v>548.79999999999995</v>
      </c>
    </row>
    <row r="2990" spans="2:12" ht="16.149999999999999" customHeight="1">
      <c r="B2990" s="662" t="s">
        <v>611</v>
      </c>
      <c r="C2990" s="373"/>
      <c r="D2990" s="42">
        <v>24.2</v>
      </c>
      <c r="E2990" s="42" t="s">
        <v>429</v>
      </c>
      <c r="F2990" s="42">
        <v>38.799999999999997</v>
      </c>
      <c r="G2990" s="362"/>
      <c r="H2990" s="718"/>
      <c r="I2990" s="226">
        <v>1</v>
      </c>
      <c r="J2990" s="363"/>
      <c r="K2990" s="28">
        <v>4</v>
      </c>
      <c r="L2990" s="649">
        <f t="shared" si="200"/>
        <v>252</v>
      </c>
    </row>
    <row r="2991" spans="2:12" ht="16.149999999999999" customHeight="1">
      <c r="B2991" s="662" t="s">
        <v>612</v>
      </c>
      <c r="C2991" s="373"/>
      <c r="D2991" s="42">
        <v>32.1</v>
      </c>
      <c r="E2991" s="42" t="s">
        <v>429</v>
      </c>
      <c r="F2991" s="42">
        <v>59.8</v>
      </c>
      <c r="G2991" s="362"/>
      <c r="H2991" s="718"/>
      <c r="I2991" s="226">
        <v>1</v>
      </c>
      <c r="J2991" s="363"/>
      <c r="K2991" s="28">
        <v>4</v>
      </c>
      <c r="L2991" s="649">
        <f t="shared" si="200"/>
        <v>367.6</v>
      </c>
    </row>
    <row r="2992" spans="2:12" ht="16.149999999999999" customHeight="1">
      <c r="B2992" s="662" t="s">
        <v>613</v>
      </c>
      <c r="C2992" s="373"/>
      <c r="D2992" s="42">
        <v>16.8</v>
      </c>
      <c r="E2992" s="42" t="s">
        <v>429</v>
      </c>
      <c r="F2992" s="42">
        <v>34.5</v>
      </c>
      <c r="G2992" s="362"/>
      <c r="H2992" s="718"/>
      <c r="I2992" s="226">
        <v>1</v>
      </c>
      <c r="J2992" s="363"/>
      <c r="K2992" s="28">
        <v>4</v>
      </c>
      <c r="L2992" s="649">
        <f t="shared" si="200"/>
        <v>205.2</v>
      </c>
    </row>
    <row r="2993" spans="2:12" ht="16.149999999999999" customHeight="1" thickBot="1">
      <c r="B2993" s="655"/>
      <c r="C2993" s="373"/>
      <c r="D2993" s="43"/>
      <c r="E2993" s="43"/>
      <c r="F2993" s="43"/>
      <c r="G2993" s="362"/>
      <c r="H2993" s="718"/>
      <c r="I2993" s="28"/>
      <c r="J2993" s="363"/>
      <c r="K2993" s="28"/>
      <c r="L2993" s="649">
        <f t="shared" si="200"/>
        <v>0</v>
      </c>
    </row>
    <row r="2994" spans="2:12" ht="16.149999999999999" customHeight="1">
      <c r="B2994" s="793" t="s">
        <v>904</v>
      </c>
      <c r="C2994" s="373"/>
      <c r="D2994" s="20"/>
      <c r="E2994" s="20"/>
      <c r="F2994" s="20"/>
      <c r="G2994" s="362"/>
      <c r="H2994" s="718"/>
      <c r="I2994" s="28"/>
      <c r="J2994" s="363"/>
      <c r="K2994" s="28"/>
      <c r="L2994" s="649">
        <f t="shared" si="200"/>
        <v>0</v>
      </c>
    </row>
    <row r="2995" spans="2:12" ht="16.149999999999999" customHeight="1">
      <c r="B2995" s="794" t="s">
        <v>625</v>
      </c>
      <c r="C2995" s="373"/>
      <c r="D2995" s="42">
        <v>15.7</v>
      </c>
      <c r="E2995" s="42">
        <v>20</v>
      </c>
      <c r="F2995" s="49" t="s">
        <v>429</v>
      </c>
      <c r="G2995" s="362"/>
      <c r="H2995" s="718"/>
      <c r="I2995" s="227">
        <v>2</v>
      </c>
      <c r="J2995" s="363"/>
      <c r="K2995" s="28">
        <v>4</v>
      </c>
      <c r="L2995" s="649">
        <f>(SUM(C2995:H2995))*I2995*K2995</f>
        <v>285.60000000000002</v>
      </c>
    </row>
    <row r="2996" spans="2:12" ht="16.149999999999999" customHeight="1">
      <c r="B2996" s="794" t="s">
        <v>626</v>
      </c>
      <c r="C2996" s="373"/>
      <c r="D2996" s="42">
        <v>18.7</v>
      </c>
      <c r="E2996" s="42">
        <v>9.1999999999999993</v>
      </c>
      <c r="F2996" s="49">
        <v>31.4</v>
      </c>
      <c r="G2996" s="362"/>
      <c r="H2996" s="718"/>
      <c r="I2996" s="227">
        <v>1</v>
      </c>
      <c r="J2996" s="363"/>
      <c r="K2996" s="28">
        <v>4</v>
      </c>
      <c r="L2996" s="649">
        <f>(SUM(C2996:H2996))*I2996*K2996</f>
        <v>237.2</v>
      </c>
    </row>
    <row r="2997" spans="2:12" ht="16.149999999999999" customHeight="1">
      <c r="B2997" s="794" t="s">
        <v>627</v>
      </c>
      <c r="C2997" s="373"/>
      <c r="D2997" s="42">
        <v>18.7</v>
      </c>
      <c r="E2997" s="42">
        <v>27.6</v>
      </c>
      <c r="F2997" s="49" t="s">
        <v>429</v>
      </c>
      <c r="G2997" s="362"/>
      <c r="H2997" s="718"/>
      <c r="I2997" s="227">
        <v>1</v>
      </c>
      <c r="J2997" s="363"/>
      <c r="K2997" s="28">
        <v>4</v>
      </c>
      <c r="L2997" s="649">
        <f t="shared" si="200"/>
        <v>185.2</v>
      </c>
    </row>
    <row r="2998" spans="2:12" ht="16.149999999999999" customHeight="1">
      <c r="B2998" s="794" t="s">
        <v>628</v>
      </c>
      <c r="C2998" s="373"/>
      <c r="D2998" s="42">
        <v>56.1</v>
      </c>
      <c r="E2998" s="42">
        <v>60.1</v>
      </c>
      <c r="F2998" s="49">
        <v>9.4</v>
      </c>
      <c r="G2998" s="362"/>
      <c r="H2998" s="718"/>
      <c r="I2998" s="227">
        <v>1</v>
      </c>
      <c r="J2998" s="363"/>
      <c r="K2998" s="28">
        <v>4</v>
      </c>
      <c r="L2998" s="649">
        <f t="shared" si="200"/>
        <v>502.40000000000003</v>
      </c>
    </row>
    <row r="2999" spans="2:12" ht="16.149999999999999" customHeight="1">
      <c r="B2999" s="794" t="s">
        <v>629</v>
      </c>
      <c r="C2999" s="373"/>
      <c r="D2999" s="42">
        <v>36.799999999999997</v>
      </c>
      <c r="E2999" s="42">
        <v>34.6</v>
      </c>
      <c r="F2999" s="49">
        <v>9.4</v>
      </c>
      <c r="G2999" s="362"/>
      <c r="H2999" s="718"/>
      <c r="I2999" s="227">
        <v>1</v>
      </c>
      <c r="J2999" s="363"/>
      <c r="K2999" s="28">
        <v>4</v>
      </c>
      <c r="L2999" s="649">
        <f t="shared" si="200"/>
        <v>323.20000000000005</v>
      </c>
    </row>
    <row r="3000" spans="2:12" ht="16.149999999999999" customHeight="1">
      <c r="B3000" s="794" t="s">
        <v>630</v>
      </c>
      <c r="C3000" s="373"/>
      <c r="D3000" s="42">
        <v>19.3</v>
      </c>
      <c r="E3000" s="42">
        <v>23.3</v>
      </c>
      <c r="F3000" s="49" t="s">
        <v>429</v>
      </c>
      <c r="G3000" s="362"/>
      <c r="H3000" s="718"/>
      <c r="I3000" s="227">
        <v>1</v>
      </c>
      <c r="J3000" s="363"/>
      <c r="K3000" s="28">
        <v>4</v>
      </c>
      <c r="L3000" s="649">
        <f t="shared" si="200"/>
        <v>170.4</v>
      </c>
    </row>
    <row r="3001" spans="2:12" ht="16.149999999999999" customHeight="1">
      <c r="B3001" s="794" t="s">
        <v>633</v>
      </c>
      <c r="C3001" s="373"/>
      <c r="D3001" s="42">
        <f>32*0.4*0.56</f>
        <v>7.168000000000001</v>
      </c>
      <c r="E3001" s="42"/>
      <c r="F3001" s="49">
        <f>4.68*2*1.552</f>
        <v>14.526719999999999</v>
      </c>
      <c r="G3001" s="362"/>
      <c r="H3001" s="718"/>
      <c r="I3001" s="227">
        <v>1</v>
      </c>
      <c r="J3001" s="363"/>
      <c r="K3001" s="28">
        <v>4</v>
      </c>
      <c r="L3001" s="649">
        <f t="shared" si="200"/>
        <v>86.778880000000001</v>
      </c>
    </row>
    <row r="3002" spans="2:12" ht="16.149999999999999" customHeight="1">
      <c r="B3002" s="801" t="s">
        <v>888</v>
      </c>
      <c r="C3002" s="222">
        <f>47*6*2</f>
        <v>564</v>
      </c>
      <c r="D3002" s="42"/>
      <c r="E3002" s="42"/>
      <c r="F3002" s="49"/>
      <c r="G3002" s="362"/>
      <c r="H3002" s="718"/>
      <c r="I3002" s="227">
        <v>1</v>
      </c>
      <c r="J3002" s="363"/>
      <c r="K3002" s="28">
        <v>4</v>
      </c>
      <c r="L3002" s="649">
        <f t="shared" si="200"/>
        <v>2256</v>
      </c>
    </row>
    <row r="3003" spans="2:12" ht="16.149999999999999" customHeight="1">
      <c r="B3003" s="802" t="s">
        <v>853</v>
      </c>
      <c r="C3003" s="42"/>
      <c r="D3003" s="42"/>
      <c r="E3003" s="42"/>
      <c r="F3003" s="49"/>
      <c r="G3003" s="20"/>
      <c r="H3003" s="21"/>
      <c r="I3003" s="227"/>
      <c r="J3003" s="28"/>
      <c r="K3003" s="28"/>
      <c r="L3003" s="649"/>
    </row>
    <row r="3004" spans="2:12" ht="16.149999999999999" customHeight="1" thickBot="1">
      <c r="B3004" s="717" t="s">
        <v>435</v>
      </c>
      <c r="C3004" s="373"/>
      <c r="D3004" s="20"/>
      <c r="E3004" s="583"/>
      <c r="F3004" s="20"/>
      <c r="G3004" s="362"/>
      <c r="H3004" s="21"/>
      <c r="I3004" s="28"/>
      <c r="J3004" s="28"/>
      <c r="K3004" s="17"/>
      <c r="L3004" s="649"/>
    </row>
    <row r="3005" spans="2:12" ht="16.149999999999999" customHeight="1">
      <c r="B3005" s="662" t="s">
        <v>599</v>
      </c>
      <c r="C3005" s="373"/>
      <c r="D3005" s="805"/>
      <c r="E3005" s="42">
        <f>1.65*18</f>
        <v>29.7</v>
      </c>
      <c r="F3005" s="362"/>
      <c r="G3005" s="362"/>
      <c r="H3005" s="21"/>
      <c r="I3005" s="225">
        <v>2</v>
      </c>
      <c r="J3005" s="28"/>
      <c r="K3005" s="225">
        <v>2</v>
      </c>
      <c r="L3005" s="649">
        <f>(SUM(C3005:H3005))*I3005*K3005</f>
        <v>118.8</v>
      </c>
    </row>
    <row r="3006" spans="2:12" ht="16.149999999999999" customHeight="1">
      <c r="B3006" s="662" t="s">
        <v>600</v>
      </c>
      <c r="C3006" s="373"/>
      <c r="D3006" s="805"/>
      <c r="E3006" s="42">
        <f>1.35*9+1.65*7</f>
        <v>23.7</v>
      </c>
      <c r="F3006" s="362"/>
      <c r="G3006" s="362"/>
      <c r="H3006" s="21"/>
      <c r="I3006" s="789">
        <v>1</v>
      </c>
      <c r="J3006" s="28"/>
      <c r="K3006" s="789">
        <v>2</v>
      </c>
      <c r="L3006" s="649">
        <f t="shared" ref="L3006:L3018" si="201">(SUM(C3006:H3006))*I3006*K3006</f>
        <v>47.4</v>
      </c>
    </row>
    <row r="3007" spans="2:12" ht="16.149999999999999" customHeight="1">
      <c r="B3007" s="662" t="s">
        <v>715</v>
      </c>
      <c r="C3007" s="373"/>
      <c r="D3007" s="805"/>
      <c r="E3007" s="42">
        <f>1.45*10+1.95*7</f>
        <v>28.15</v>
      </c>
      <c r="F3007" s="362"/>
      <c r="G3007" s="362"/>
      <c r="H3007" s="21"/>
      <c r="I3007" s="790">
        <v>1</v>
      </c>
      <c r="J3007" s="28"/>
      <c r="K3007" s="789">
        <v>2</v>
      </c>
      <c r="L3007" s="649">
        <f t="shared" si="201"/>
        <v>56.3</v>
      </c>
    </row>
    <row r="3008" spans="2:12" ht="16.149999999999999" customHeight="1">
      <c r="B3008" s="662" t="s">
        <v>716</v>
      </c>
      <c r="C3008" s="373"/>
      <c r="D3008" s="805"/>
      <c r="E3008" s="49">
        <f>1.95*20</f>
        <v>39</v>
      </c>
      <c r="F3008" s="362"/>
      <c r="G3008" s="362"/>
      <c r="H3008" s="21"/>
      <c r="I3008" s="790">
        <v>2</v>
      </c>
      <c r="J3008" s="28"/>
      <c r="K3008" s="789">
        <v>2</v>
      </c>
      <c r="L3008" s="649">
        <f t="shared" si="201"/>
        <v>156</v>
      </c>
    </row>
    <row r="3009" spans="2:12" ht="16.149999999999999" customHeight="1">
      <c r="B3009" s="791" t="s">
        <v>428</v>
      </c>
      <c r="C3009" s="373"/>
      <c r="D3009" s="20"/>
      <c r="E3009" s="202"/>
      <c r="F3009" s="20"/>
      <c r="G3009" s="362"/>
      <c r="H3009" s="21"/>
      <c r="I3009" s="28"/>
      <c r="J3009" s="28"/>
      <c r="K3009" s="28"/>
      <c r="L3009" s="649">
        <f t="shared" si="201"/>
        <v>0</v>
      </c>
    </row>
    <row r="3010" spans="2:12" ht="16.149999999999999" customHeight="1">
      <c r="B3010" s="792" t="s">
        <v>602</v>
      </c>
      <c r="C3010" s="373"/>
      <c r="D3010" s="42">
        <f>+(13+6+4+6+3)*1.08*0.56</f>
        <v>19.353600000000004</v>
      </c>
      <c r="E3010" s="42">
        <f>4*5.5</f>
        <v>22</v>
      </c>
      <c r="F3010" s="42">
        <f>4*5.5*1.552</f>
        <v>34.143999999999998</v>
      </c>
      <c r="G3010" s="362"/>
      <c r="H3010" s="718"/>
      <c r="I3010" s="28">
        <v>6</v>
      </c>
      <c r="J3010" s="363"/>
      <c r="K3010" s="28">
        <v>2</v>
      </c>
      <c r="L3010" s="649">
        <f t="shared" si="201"/>
        <v>905.97120000000007</v>
      </c>
    </row>
    <row r="3011" spans="2:12" ht="16.149999999999999" customHeight="1">
      <c r="B3011" s="717" t="s">
        <v>605</v>
      </c>
      <c r="C3011" s="373"/>
      <c r="D3011" s="20"/>
      <c r="E3011" s="20"/>
      <c r="F3011" s="20"/>
      <c r="G3011" s="362"/>
      <c r="H3011" s="718"/>
      <c r="I3011" s="28"/>
      <c r="J3011" s="363"/>
      <c r="K3011" s="28"/>
      <c r="L3011" s="649">
        <f t="shared" si="201"/>
        <v>0</v>
      </c>
    </row>
    <row r="3012" spans="2:12" ht="16.149999999999999" customHeight="1">
      <c r="B3012" s="662" t="s">
        <v>606</v>
      </c>
      <c r="C3012" s="373"/>
      <c r="D3012" s="42">
        <v>13.7</v>
      </c>
      <c r="E3012" s="42" t="s">
        <v>429</v>
      </c>
      <c r="F3012" s="42">
        <v>30.3</v>
      </c>
      <c r="G3012" s="362"/>
      <c r="H3012" s="718"/>
      <c r="I3012" s="226">
        <v>2</v>
      </c>
      <c r="J3012" s="363"/>
      <c r="K3012" s="28">
        <v>2</v>
      </c>
      <c r="L3012" s="649">
        <f t="shared" si="201"/>
        <v>176</v>
      </c>
    </row>
    <row r="3013" spans="2:12" ht="16.149999999999999" customHeight="1">
      <c r="B3013" s="662" t="s">
        <v>607</v>
      </c>
      <c r="C3013" s="373"/>
      <c r="D3013" s="42">
        <v>16.3</v>
      </c>
      <c r="E3013" s="42" t="s">
        <v>429</v>
      </c>
      <c r="F3013" s="42">
        <v>38.799999999999997</v>
      </c>
      <c r="G3013" s="362"/>
      <c r="H3013" s="718"/>
      <c r="I3013" s="226">
        <v>1</v>
      </c>
      <c r="J3013" s="363"/>
      <c r="K3013" s="28">
        <v>2</v>
      </c>
      <c r="L3013" s="649">
        <f t="shared" si="201"/>
        <v>110.19999999999999</v>
      </c>
    </row>
    <row r="3014" spans="2:12" ht="16.149999999999999" customHeight="1">
      <c r="B3014" s="662" t="s">
        <v>608</v>
      </c>
      <c r="C3014" s="373"/>
      <c r="D3014" s="42">
        <v>7.4</v>
      </c>
      <c r="E3014" s="42" t="s">
        <v>429</v>
      </c>
      <c r="F3014" s="42">
        <v>17</v>
      </c>
      <c r="G3014" s="362"/>
      <c r="H3014" s="718"/>
      <c r="I3014" s="226">
        <v>1</v>
      </c>
      <c r="J3014" s="363"/>
      <c r="K3014" s="28">
        <v>2</v>
      </c>
      <c r="L3014" s="649">
        <f t="shared" si="201"/>
        <v>48.8</v>
      </c>
    </row>
    <row r="3015" spans="2:12" ht="16.149999999999999" customHeight="1">
      <c r="B3015" s="662" t="s">
        <v>609</v>
      </c>
      <c r="C3015" s="373"/>
      <c r="D3015" s="42">
        <v>17.899999999999999</v>
      </c>
      <c r="E3015" s="42" t="s">
        <v>429</v>
      </c>
      <c r="F3015" s="42">
        <v>34.1</v>
      </c>
      <c r="G3015" s="362"/>
      <c r="H3015" s="718"/>
      <c r="I3015" s="226">
        <v>1</v>
      </c>
      <c r="J3015" s="363"/>
      <c r="K3015" s="28">
        <v>2</v>
      </c>
      <c r="L3015" s="649">
        <f t="shared" si="201"/>
        <v>104</v>
      </c>
    </row>
    <row r="3016" spans="2:12" ht="16.149999999999999" customHeight="1">
      <c r="B3016" s="662" t="s">
        <v>610</v>
      </c>
      <c r="C3016" s="373"/>
      <c r="D3016" s="42">
        <v>33</v>
      </c>
      <c r="E3016" s="42">
        <v>3</v>
      </c>
      <c r="F3016" s="42">
        <v>51.11</v>
      </c>
      <c r="G3016" s="362"/>
      <c r="H3016" s="718"/>
      <c r="I3016" s="226">
        <v>1</v>
      </c>
      <c r="J3016" s="363"/>
      <c r="K3016" s="28">
        <v>2</v>
      </c>
      <c r="L3016" s="649">
        <f t="shared" si="201"/>
        <v>174.22</v>
      </c>
    </row>
    <row r="3017" spans="2:12" ht="16.149999999999999" customHeight="1">
      <c r="B3017" s="662" t="s">
        <v>611</v>
      </c>
      <c r="C3017" s="373"/>
      <c r="D3017" s="42">
        <v>24.2</v>
      </c>
      <c r="E3017" s="42" t="s">
        <v>429</v>
      </c>
      <c r="F3017" s="42">
        <v>38.799999999999997</v>
      </c>
      <c r="G3017" s="362"/>
      <c r="H3017" s="718"/>
      <c r="I3017" s="226">
        <v>1</v>
      </c>
      <c r="J3017" s="363"/>
      <c r="K3017" s="28">
        <v>2</v>
      </c>
      <c r="L3017" s="649">
        <f t="shared" si="201"/>
        <v>126</v>
      </c>
    </row>
    <row r="3018" spans="2:12" ht="16.149999999999999" customHeight="1">
      <c r="B3018" s="662" t="s">
        <v>612</v>
      </c>
      <c r="C3018" s="373"/>
      <c r="D3018" s="42">
        <v>32.1</v>
      </c>
      <c r="E3018" s="42" t="s">
        <v>429</v>
      </c>
      <c r="F3018" s="42">
        <v>59.8</v>
      </c>
      <c r="G3018" s="362"/>
      <c r="H3018" s="718"/>
      <c r="I3018" s="226">
        <v>1</v>
      </c>
      <c r="J3018" s="363"/>
      <c r="K3018" s="28">
        <v>2</v>
      </c>
      <c r="L3018" s="649">
        <f t="shared" si="201"/>
        <v>183.8</v>
      </c>
    </row>
    <row r="3019" spans="2:12" ht="16.149999999999999" customHeight="1">
      <c r="B3019" s="662" t="s">
        <v>613</v>
      </c>
      <c r="C3019" s="373"/>
      <c r="D3019" s="42">
        <v>16.8</v>
      </c>
      <c r="E3019" s="42" t="s">
        <v>429</v>
      </c>
      <c r="F3019" s="42">
        <v>34.5</v>
      </c>
      <c r="G3019" s="362"/>
      <c r="H3019" s="718"/>
      <c r="I3019" s="226">
        <v>1</v>
      </c>
      <c r="J3019" s="363"/>
      <c r="K3019" s="28">
        <v>2</v>
      </c>
      <c r="L3019" s="649">
        <f>(SUM(C3019:H3019))*I3019*K3019</f>
        <v>102.6</v>
      </c>
    </row>
    <row r="3020" spans="2:12" ht="16.149999999999999" customHeight="1">
      <c r="B3020" s="662"/>
      <c r="C3020" s="373"/>
      <c r="D3020" s="42"/>
      <c r="E3020" s="42"/>
      <c r="F3020" s="42"/>
      <c r="G3020" s="362"/>
      <c r="H3020" s="718"/>
      <c r="I3020" s="226"/>
      <c r="J3020" s="363"/>
      <c r="K3020" s="28"/>
      <c r="L3020" s="649"/>
    </row>
    <row r="3021" spans="2:12" ht="16.149999999999999" customHeight="1">
      <c r="B3021" s="662"/>
      <c r="C3021" s="373"/>
      <c r="D3021" s="42"/>
      <c r="E3021" s="42"/>
      <c r="F3021" s="42"/>
      <c r="G3021" s="362"/>
      <c r="H3021" s="718"/>
      <c r="I3021" s="226"/>
      <c r="J3021" s="363"/>
      <c r="K3021" s="28"/>
      <c r="L3021" s="649"/>
    </row>
    <row r="3022" spans="2:12" ht="16.149999999999999" customHeight="1">
      <c r="B3022" s="717" t="s">
        <v>974</v>
      </c>
      <c r="C3022" s="373"/>
      <c r="D3022" s="42"/>
      <c r="E3022" s="42"/>
      <c r="F3022" s="42"/>
      <c r="G3022" s="362"/>
      <c r="H3022" s="718"/>
      <c r="I3022" s="226"/>
      <c r="J3022" s="363"/>
      <c r="K3022" s="28"/>
      <c r="L3022" s="649"/>
    </row>
    <row r="3023" spans="2:12" ht="16.149999999999999" customHeight="1">
      <c r="B3023" s="717"/>
      <c r="C3023" s="373"/>
      <c r="D3023" s="42"/>
      <c r="E3023" s="42"/>
      <c r="F3023" s="42"/>
      <c r="G3023" s="362"/>
      <c r="H3023" s="718"/>
      <c r="I3023" s="226"/>
      <c r="J3023" s="363"/>
      <c r="K3023" s="28"/>
      <c r="L3023" s="649"/>
    </row>
    <row r="3024" spans="2:12" ht="16.149999999999999" customHeight="1">
      <c r="B3024" s="987" t="s">
        <v>435</v>
      </c>
      <c r="C3024" s="988"/>
      <c r="D3024" s="988"/>
      <c r="E3024" s="988"/>
      <c r="F3024" s="988"/>
      <c r="G3024" s="988"/>
      <c r="H3024" s="988"/>
      <c r="I3024" s="988"/>
      <c r="J3024" s="988"/>
      <c r="K3024" s="988"/>
      <c r="L3024" s="989"/>
    </row>
    <row r="3025" spans="2:13" ht="16.149999999999999" customHeight="1">
      <c r="B3025" s="662" t="s">
        <v>599</v>
      </c>
      <c r="C3025" s="269"/>
      <c r="D3025" s="33"/>
      <c r="E3025" s="33">
        <f>((12*1.3*0.996))</f>
        <v>15.537600000000001</v>
      </c>
      <c r="F3025" s="270"/>
      <c r="G3025" s="270"/>
      <c r="H3025" s="271"/>
      <c r="I3025" s="35">
        <v>4</v>
      </c>
      <c r="J3025" s="22">
        <v>3</v>
      </c>
      <c r="K3025" s="17"/>
      <c r="L3025" s="719">
        <f>+SUM(C3025:H3025)*(I3025*J3025)</f>
        <v>186.45120000000003</v>
      </c>
    </row>
    <row r="3026" spans="2:13" ht="16.149999999999999" customHeight="1">
      <c r="B3026" s="720" t="s">
        <v>428</v>
      </c>
      <c r="C3026" s="374"/>
      <c r="D3026" s="374"/>
      <c r="E3026" s="374"/>
      <c r="F3026" s="374"/>
      <c r="G3026" s="374"/>
      <c r="H3026" s="374"/>
      <c r="I3026" s="374"/>
      <c r="J3026" s="374"/>
      <c r="K3026" s="374"/>
      <c r="L3026" s="721"/>
    </row>
    <row r="3027" spans="2:13" ht="16.149999999999999" customHeight="1">
      <c r="B3027" s="662" t="s">
        <v>602</v>
      </c>
      <c r="C3027" s="269"/>
      <c r="D3027" s="42">
        <f>((13+6+6+6)*(0.56)*(0.88))</f>
        <v>15.276800000000003</v>
      </c>
      <c r="E3027" s="33">
        <f>((6*5.6*0.992))</f>
        <v>33.331199999999995</v>
      </c>
      <c r="F3027" s="33"/>
      <c r="G3027" s="42"/>
      <c r="H3027" s="271"/>
      <c r="I3027" s="35">
        <v>4</v>
      </c>
      <c r="J3027" s="22">
        <v>3</v>
      </c>
      <c r="K3027" s="17"/>
      <c r="L3027" s="719">
        <f>+SUM(C3027:H3027)*(I3027*J3027)</f>
        <v>583.29599999999994</v>
      </c>
    </row>
    <row r="3028" spans="2:13" ht="16.149999999999999" customHeight="1">
      <c r="B3028" s="984" t="s">
        <v>605</v>
      </c>
      <c r="C3028" s="985"/>
      <c r="D3028" s="985"/>
      <c r="E3028" s="985"/>
      <c r="F3028" s="985"/>
      <c r="G3028" s="985"/>
      <c r="H3028" s="985"/>
      <c r="I3028" s="985"/>
      <c r="J3028" s="985"/>
      <c r="K3028" s="985"/>
      <c r="L3028" s="986"/>
    </row>
    <row r="3029" spans="2:13" ht="16.149999999999999" customHeight="1">
      <c r="B3029" s="662" t="s">
        <v>666</v>
      </c>
      <c r="C3029" s="269"/>
      <c r="D3029" s="42">
        <f>((26*1.08*0.56))</f>
        <v>15.724800000000002</v>
      </c>
      <c r="E3029" s="42">
        <f>((1.4*3*0.996)*2)</f>
        <v>8.3663999999999987</v>
      </c>
      <c r="F3029" s="43"/>
      <c r="G3029" s="270"/>
      <c r="H3029" s="271"/>
      <c r="I3029" s="35">
        <v>2</v>
      </c>
      <c r="J3029" s="22">
        <v>3</v>
      </c>
      <c r="K3029" s="17"/>
      <c r="L3029" s="719">
        <f>+SUM(C3029:H3029)*(I3029*J3029)</f>
        <v>144.5472</v>
      </c>
    </row>
    <row r="3030" spans="2:13" ht="16.149999999999999" customHeight="1">
      <c r="B3030" s="662" t="s">
        <v>667</v>
      </c>
      <c r="C3030" s="269"/>
      <c r="D3030" s="42">
        <f>((26*1.08*0.56))</f>
        <v>15.724800000000002</v>
      </c>
      <c r="E3030" s="42">
        <v>64.475999999999999</v>
      </c>
      <c r="F3030" s="43"/>
      <c r="G3030" s="270"/>
      <c r="H3030" s="271"/>
      <c r="I3030" s="35">
        <v>2</v>
      </c>
      <c r="J3030" s="22">
        <v>3</v>
      </c>
      <c r="K3030" s="17"/>
      <c r="L3030" s="719">
        <f>+SUM(C3030:H3030)*(I3030*3)</f>
        <v>481.20479999999998</v>
      </c>
    </row>
    <row r="3031" spans="2:13" ht="16.149999999999999" customHeight="1">
      <c r="B3031" s="720" t="s">
        <v>976</v>
      </c>
      <c r="C3031" s="374"/>
      <c r="D3031" s="374"/>
      <c r="E3031" s="374"/>
      <c r="F3031" s="374"/>
      <c r="G3031" s="374"/>
      <c r="H3031" s="374"/>
      <c r="I3031" s="374"/>
      <c r="J3031" s="374"/>
      <c r="K3031" s="374"/>
      <c r="L3031" s="721"/>
    </row>
    <row r="3032" spans="2:13" ht="16.149999999999999" customHeight="1">
      <c r="B3032" s="662" t="s">
        <v>977</v>
      </c>
      <c r="C3032" s="269"/>
      <c r="D3032" s="42">
        <f>((26*1.08*0.56))</f>
        <v>15.724800000000002</v>
      </c>
      <c r="E3032" s="42">
        <f>((1.4*3*0.996)*2)</f>
        <v>8.3663999999999987</v>
      </c>
      <c r="F3032" s="43"/>
      <c r="G3032" s="270"/>
      <c r="H3032" s="271"/>
      <c r="I3032" s="35">
        <v>2</v>
      </c>
      <c r="J3032" s="22">
        <v>3</v>
      </c>
      <c r="K3032" s="17"/>
      <c r="L3032" s="719">
        <f>+SUM(C3032:H3032)*(I3032*J3032)</f>
        <v>144.5472</v>
      </c>
    </row>
    <row r="3033" spans="2:13" ht="16.149999999999999" customHeight="1">
      <c r="B3033" s="662" t="s">
        <v>978</v>
      </c>
      <c r="C3033" s="269"/>
      <c r="D3033" s="42">
        <f>((26*1.08*0.56))</f>
        <v>15.724800000000002</v>
      </c>
      <c r="E3033" s="42">
        <v>64.475999999999999</v>
      </c>
      <c r="F3033" s="43"/>
      <c r="G3033" s="270"/>
      <c r="H3033" s="271"/>
      <c r="I3033" s="35">
        <v>2</v>
      </c>
      <c r="J3033" s="22">
        <v>3</v>
      </c>
      <c r="K3033" s="17"/>
      <c r="L3033" s="719">
        <f>+SUM(C3033:H3033)*(I3033*3)*J3033</f>
        <v>1443.6143999999999</v>
      </c>
    </row>
    <row r="3034" spans="2:13" ht="16.149999999999999" customHeight="1">
      <c r="B3034" s="662" t="s">
        <v>981</v>
      </c>
      <c r="C3034" s="270">
        <v>160</v>
      </c>
      <c r="D3034" s="42"/>
      <c r="E3034" s="42"/>
      <c r="F3034" s="43"/>
      <c r="G3034" s="270"/>
      <c r="H3034" s="271"/>
      <c r="I3034" s="35">
        <v>1</v>
      </c>
      <c r="J3034" s="22">
        <v>4</v>
      </c>
      <c r="K3034" s="17">
        <v>2</v>
      </c>
      <c r="L3034" s="719">
        <f>+SUM(C3034:H3034)*(I3034*3)*J3034*K3034</f>
        <v>3840</v>
      </c>
    </row>
    <row r="3035" spans="2:13" ht="16.149999999999999" customHeight="1">
      <c r="B3035" s="662"/>
      <c r="C3035" s="269"/>
      <c r="D3035" s="42"/>
      <c r="E3035" s="42"/>
      <c r="F3035" s="43"/>
      <c r="G3035" s="270"/>
      <c r="H3035" s="271"/>
      <c r="I3035" s="35"/>
      <c r="J3035" s="22"/>
      <c r="K3035" s="17"/>
      <c r="L3035" s="719"/>
    </row>
    <row r="3036" spans="2:13" ht="28.5">
      <c r="B3036" s="710" t="s">
        <v>1058</v>
      </c>
      <c r="C3036" s="393" t="s">
        <v>21</v>
      </c>
      <c r="D3036" s="394"/>
      <c r="E3036" s="395"/>
      <c r="F3036" s="396"/>
      <c r="G3036" s="397"/>
      <c r="H3036" s="271"/>
      <c r="I3036" s="35"/>
      <c r="J3036" s="398"/>
      <c r="K3036" s="399"/>
      <c r="L3036" s="649"/>
    </row>
    <row r="3037" spans="2:13" ht="16.149999999999999" customHeight="1">
      <c r="B3037" s="708"/>
      <c r="C3037" s="400">
        <v>866</v>
      </c>
      <c r="D3037" s="352"/>
      <c r="E3037" s="59">
        <v>10</v>
      </c>
      <c r="F3037" s="353"/>
      <c r="G3037" s="351"/>
      <c r="H3037" s="5"/>
      <c r="I3037" s="41">
        <v>1</v>
      </c>
      <c r="J3037" s="355"/>
      <c r="K3037" s="354"/>
      <c r="L3037" s="719">
        <f>+SUM(C3037:H3037)*(I3037*3)</f>
        <v>2628</v>
      </c>
    </row>
    <row r="3038" spans="2:13" ht="16.149999999999999" customHeight="1">
      <c r="B3038" s="708"/>
      <c r="C3038" s="400"/>
      <c r="D3038" s="352"/>
      <c r="E3038" s="59"/>
      <c r="F3038" s="353"/>
      <c r="G3038" s="351"/>
      <c r="H3038" s="5"/>
      <c r="I3038" s="41"/>
      <c r="J3038" s="355"/>
      <c r="K3038" s="354"/>
      <c r="L3038" s="719"/>
    </row>
    <row r="3039" spans="2:13" ht="16.149999999999999" customHeight="1">
      <c r="B3039" s="711" t="s">
        <v>460</v>
      </c>
      <c r="C3039" s="19"/>
      <c r="D3039" s="20"/>
      <c r="E3039" s="20"/>
      <c r="F3039" s="20"/>
      <c r="G3039" s="20"/>
      <c r="H3039" s="21"/>
      <c r="I3039" s="17"/>
      <c r="J3039" s="22"/>
      <c r="K3039" s="17"/>
      <c r="L3039" s="649"/>
    </row>
    <row r="3040" spans="2:13" ht="16.149999999999999" customHeight="1">
      <c r="B3040" s="710" t="s">
        <v>461</v>
      </c>
      <c r="C3040" s="19"/>
      <c r="D3040" s="20">
        <v>240.6</v>
      </c>
      <c r="E3040" s="20"/>
      <c r="F3040" s="20"/>
      <c r="G3040" s="20"/>
      <c r="H3040" s="21"/>
      <c r="I3040" s="28">
        <v>18.739999999999998</v>
      </c>
      <c r="J3040" s="22"/>
      <c r="K3040" s="17"/>
      <c r="L3040" s="649">
        <f>+SUM(C3040:H3040)*I3040</f>
        <v>4508.8439999999991</v>
      </c>
      <c r="M3040" s="58"/>
    </row>
    <row r="3041" spans="2:12" ht="16.149999999999999" customHeight="1">
      <c r="B3041" s="710" t="s">
        <v>462</v>
      </c>
      <c r="C3041" s="19"/>
      <c r="D3041" s="20">
        <v>217.6</v>
      </c>
      <c r="E3041" s="20"/>
      <c r="F3041" s="20"/>
      <c r="G3041" s="20"/>
      <c r="H3041" s="21"/>
      <c r="I3041" s="28">
        <v>18.739999999999998</v>
      </c>
      <c r="J3041" s="22"/>
      <c r="K3041" s="17"/>
      <c r="L3041" s="649">
        <f>+SUM(C3041:H3041)*I3041</f>
        <v>4077.8239999999996</v>
      </c>
    </row>
    <row r="3042" spans="2:12" ht="16.149999999999999" customHeight="1">
      <c r="B3042" s="678"/>
      <c r="C3042" s="19"/>
      <c r="D3042" s="20"/>
      <c r="E3042" s="20"/>
      <c r="F3042" s="20"/>
      <c r="G3042" s="20"/>
      <c r="H3042" s="21"/>
      <c r="I3042" s="28"/>
      <c r="J3042" s="22"/>
      <c r="K3042" s="17"/>
      <c r="L3042" s="649"/>
    </row>
    <row r="3043" spans="2:12" ht="16.149999999999999" customHeight="1">
      <c r="B3043" s="711" t="s">
        <v>463</v>
      </c>
      <c r="C3043" s="19"/>
      <c r="D3043" s="20">
        <v>717</v>
      </c>
      <c r="E3043" s="20"/>
      <c r="F3043" s="20"/>
      <c r="G3043" s="20"/>
      <c r="H3043" s="21"/>
      <c r="I3043" s="28">
        <v>16.53</v>
      </c>
      <c r="J3043" s="22"/>
      <c r="K3043" s="17"/>
      <c r="L3043" s="649">
        <f>+SUM(C3043:H3043)*I3043</f>
        <v>11852.01</v>
      </c>
    </row>
    <row r="3044" spans="2:12" ht="16.149999999999999" customHeight="1">
      <c r="B3044" s="711"/>
      <c r="C3044" s="19"/>
      <c r="D3044" s="583"/>
      <c r="E3044" s="202"/>
      <c r="F3044" s="583"/>
      <c r="G3044" s="583"/>
      <c r="H3044" s="21"/>
      <c r="I3044" s="28"/>
      <c r="J3044" s="398"/>
      <c r="K3044" s="399"/>
      <c r="L3044" s="649"/>
    </row>
    <row r="3045" spans="2:12" ht="16.149999999999999" customHeight="1">
      <c r="B3045" s="759" t="s">
        <v>559</v>
      </c>
      <c r="C3045" s="20"/>
      <c r="D3045" s="19"/>
      <c r="E3045" s="19"/>
      <c r="F3045" s="19"/>
      <c r="G3045" s="20"/>
      <c r="H3045" s="68"/>
      <c r="I3045" s="17"/>
      <c r="J3045" s="69"/>
      <c r="K3045" s="17"/>
      <c r="L3045" s="649"/>
    </row>
    <row r="3046" spans="2:12" ht="16.149999999999999" customHeight="1">
      <c r="B3046" s="648" t="s">
        <v>538</v>
      </c>
      <c r="C3046" s="19">
        <v>187</v>
      </c>
      <c r="D3046" s="19"/>
      <c r="E3046" s="20"/>
      <c r="F3046" s="19"/>
      <c r="G3046" s="20"/>
      <c r="H3046" s="68"/>
      <c r="I3046" s="17"/>
      <c r="J3046" s="28"/>
      <c r="K3046" s="17">
        <v>2.69</v>
      </c>
      <c r="L3046" s="649">
        <f t="shared" ref="L3046:L3055" si="202">PRODUCT(C3046:K3046)</f>
        <v>503.03</v>
      </c>
    </row>
    <row r="3047" spans="2:12" ht="16.149999999999999" customHeight="1">
      <c r="B3047" s="648" t="s">
        <v>539</v>
      </c>
      <c r="C3047" s="19">
        <v>488</v>
      </c>
      <c r="D3047" s="19"/>
      <c r="E3047" s="20"/>
      <c r="F3047" s="19"/>
      <c r="G3047" s="20"/>
      <c r="H3047" s="68"/>
      <c r="I3047" s="17"/>
      <c r="J3047" s="28"/>
      <c r="K3047" s="17">
        <v>2.69</v>
      </c>
      <c r="L3047" s="649">
        <f t="shared" si="202"/>
        <v>1312.72</v>
      </c>
    </row>
    <row r="3048" spans="2:12" ht="16.149999999999999" customHeight="1">
      <c r="B3048" s="648" t="s">
        <v>560</v>
      </c>
      <c r="C3048" s="19">
        <v>354</v>
      </c>
      <c r="D3048" s="19"/>
      <c r="E3048" s="20"/>
      <c r="F3048" s="19"/>
      <c r="G3048" s="20"/>
      <c r="H3048" s="68"/>
      <c r="I3048" s="17"/>
      <c r="J3048" s="28"/>
      <c r="K3048" s="17">
        <v>2.69</v>
      </c>
      <c r="L3048" s="649">
        <f t="shared" si="202"/>
        <v>952.26</v>
      </c>
    </row>
    <row r="3049" spans="2:12" ht="16.149999999999999" customHeight="1">
      <c r="B3049" s="648" t="s">
        <v>561</v>
      </c>
      <c r="C3049" s="19">
        <v>313</v>
      </c>
      <c r="D3049" s="19"/>
      <c r="E3049" s="20"/>
      <c r="F3049" s="19"/>
      <c r="G3049" s="20"/>
      <c r="H3049" s="68"/>
      <c r="I3049" s="17"/>
      <c r="J3049" s="28"/>
      <c r="K3049" s="17">
        <v>2.69</v>
      </c>
      <c r="L3049" s="649">
        <f t="shared" si="202"/>
        <v>841.97</v>
      </c>
    </row>
    <row r="3050" spans="2:12" ht="16.149999999999999" customHeight="1">
      <c r="B3050" s="648" t="s">
        <v>562</v>
      </c>
      <c r="C3050" s="19">
        <v>171</v>
      </c>
      <c r="D3050" s="19"/>
      <c r="E3050" s="20"/>
      <c r="F3050" s="19"/>
      <c r="G3050" s="20"/>
      <c r="H3050" s="68"/>
      <c r="I3050" s="17"/>
      <c r="J3050" s="28"/>
      <c r="K3050" s="17">
        <v>2.69</v>
      </c>
      <c r="L3050" s="649">
        <f t="shared" si="202"/>
        <v>459.99</v>
      </c>
    </row>
    <row r="3051" spans="2:12" ht="16.149999999999999" customHeight="1">
      <c r="B3051" s="648" t="s">
        <v>563</v>
      </c>
      <c r="C3051" s="19">
        <v>210</v>
      </c>
      <c r="D3051" s="19"/>
      <c r="E3051" s="20"/>
      <c r="F3051" s="19"/>
      <c r="G3051" s="20"/>
      <c r="H3051" s="68"/>
      <c r="I3051" s="17"/>
      <c r="J3051" s="28"/>
      <c r="K3051" s="17">
        <v>2.69</v>
      </c>
      <c r="L3051" s="649">
        <f t="shared" si="202"/>
        <v>564.9</v>
      </c>
    </row>
    <row r="3052" spans="2:12" ht="16.149999999999999" customHeight="1">
      <c r="B3052" s="648" t="s">
        <v>564</v>
      </c>
      <c r="C3052" s="19">
        <v>223</v>
      </c>
      <c r="D3052" s="19"/>
      <c r="E3052" s="20"/>
      <c r="F3052" s="19"/>
      <c r="G3052" s="20"/>
      <c r="H3052" s="68"/>
      <c r="I3052" s="17"/>
      <c r="J3052" s="28"/>
      <c r="K3052" s="17">
        <v>2.69</v>
      </c>
      <c r="L3052" s="649">
        <f t="shared" si="202"/>
        <v>599.87</v>
      </c>
    </row>
    <row r="3053" spans="2:12" ht="16.149999999999999" customHeight="1">
      <c r="B3053" s="648" t="s">
        <v>1070</v>
      </c>
      <c r="C3053" s="19">
        <v>134</v>
      </c>
      <c r="D3053" s="19"/>
      <c r="E3053" s="20"/>
      <c r="F3053" s="19"/>
      <c r="G3053" s="20"/>
      <c r="H3053" s="68"/>
      <c r="I3053" s="17"/>
      <c r="J3053" s="28"/>
      <c r="K3053" s="17">
        <v>2.69</v>
      </c>
      <c r="L3053" s="649">
        <f t="shared" si="202"/>
        <v>360.46</v>
      </c>
    </row>
    <row r="3054" spans="2:12" ht="16.149999999999999" customHeight="1">
      <c r="B3054" s="648" t="s">
        <v>1071</v>
      </c>
      <c r="C3054" s="19">
        <v>234</v>
      </c>
      <c r="D3054" s="19"/>
      <c r="E3054" s="20"/>
      <c r="F3054" s="19"/>
      <c r="G3054" s="20"/>
      <c r="H3054" s="68"/>
      <c r="I3054" s="17"/>
      <c r="J3054" s="28"/>
      <c r="K3054" s="17">
        <v>2.69</v>
      </c>
      <c r="L3054" s="649">
        <f t="shared" si="202"/>
        <v>629.46</v>
      </c>
    </row>
    <row r="3055" spans="2:12" ht="16.149999999999999" customHeight="1">
      <c r="B3055" s="648" t="s">
        <v>1072</v>
      </c>
      <c r="C3055" s="19">
        <v>178</v>
      </c>
      <c r="D3055" s="19"/>
      <c r="E3055" s="20"/>
      <c r="F3055" s="19"/>
      <c r="G3055" s="20"/>
      <c r="H3055" s="68"/>
      <c r="I3055" s="17"/>
      <c r="J3055" s="28"/>
      <c r="K3055" s="17">
        <v>2.69</v>
      </c>
      <c r="L3055" s="649">
        <f t="shared" si="202"/>
        <v>478.82</v>
      </c>
    </row>
    <row r="3056" spans="2:12" ht="16.149999999999999" customHeight="1">
      <c r="B3056" s="648"/>
      <c r="C3056" s="19"/>
      <c r="D3056" s="19"/>
      <c r="E3056" s="20"/>
      <c r="F3056" s="19"/>
      <c r="G3056" s="20"/>
      <c r="H3056" s="68"/>
      <c r="I3056" s="17"/>
      <c r="J3056" s="28"/>
      <c r="K3056" s="17"/>
      <c r="L3056" s="649"/>
    </row>
    <row r="3057" spans="2:12" ht="16.149999999999999" customHeight="1">
      <c r="B3057" s="759"/>
      <c r="C3057" s="20"/>
      <c r="D3057" s="19"/>
      <c r="E3057" s="19"/>
      <c r="F3057" s="19"/>
      <c r="G3057" s="20"/>
      <c r="H3057" s="68"/>
      <c r="I3057" s="17"/>
      <c r="J3057" s="28"/>
      <c r="K3057" s="17"/>
      <c r="L3057" s="649"/>
    </row>
    <row r="3058" spans="2:12" ht="16.149999999999999" customHeight="1">
      <c r="B3058" s="648"/>
      <c r="C3058" s="19"/>
      <c r="D3058" s="19"/>
      <c r="E3058" s="19"/>
      <c r="F3058" s="19"/>
      <c r="G3058" s="20"/>
      <c r="H3058" s="68"/>
      <c r="I3058" s="17">
        <v>1.2</v>
      </c>
      <c r="J3058" s="28"/>
      <c r="K3058" s="17">
        <v>2.69</v>
      </c>
      <c r="L3058" s="649">
        <f>PRODUCT(C3058:K3058)</f>
        <v>3.2279999999999998</v>
      </c>
    </row>
    <row r="3059" spans="2:12" ht="16.149999999999999" customHeight="1">
      <c r="B3059" s="759" t="s">
        <v>1068</v>
      </c>
      <c r="C3059" s="19">
        <v>1.25</v>
      </c>
      <c r="D3059" s="19"/>
      <c r="E3059" s="19"/>
      <c r="F3059" s="19"/>
      <c r="G3059" s="20"/>
      <c r="H3059" s="68"/>
      <c r="I3059" s="17">
        <v>80</v>
      </c>
      <c r="J3059" s="28"/>
      <c r="K3059" s="17">
        <v>2.69</v>
      </c>
      <c r="L3059" s="649">
        <f>PRODUCT(C3059:K3059)</f>
        <v>269</v>
      </c>
    </row>
    <row r="3060" spans="2:12" ht="16.149999999999999" customHeight="1">
      <c r="B3060" s="806" t="s">
        <v>1069</v>
      </c>
      <c r="C3060" s="19">
        <v>1.25</v>
      </c>
      <c r="D3060" s="19"/>
      <c r="E3060" s="19"/>
      <c r="F3060" s="19"/>
      <c r="G3060" s="20"/>
      <c r="H3060" s="68"/>
      <c r="I3060" s="17">
        <v>102</v>
      </c>
      <c r="J3060" s="28"/>
      <c r="K3060" s="17">
        <v>2.69</v>
      </c>
      <c r="L3060" s="649">
        <f>PRODUCT(C3060:K3060)</f>
        <v>342.97499999999997</v>
      </c>
    </row>
    <row r="3061" spans="2:12" ht="16.149999999999999" customHeight="1">
      <c r="B3061" s="759" t="s">
        <v>870</v>
      </c>
      <c r="C3061" s="19"/>
      <c r="D3061" s="19">
        <v>1.6</v>
      </c>
      <c r="E3061" s="19"/>
      <c r="F3061" s="19">
        <f>78+8+2.25+2+2.34+1.4*3+3.5+1.5</f>
        <v>101.79</v>
      </c>
      <c r="G3061" s="20"/>
      <c r="H3061" s="68"/>
      <c r="I3061" s="17"/>
      <c r="J3061" s="28"/>
      <c r="K3061" s="17">
        <v>2.69</v>
      </c>
      <c r="L3061" s="649">
        <f>PRODUCT(C3061:K3061)</f>
        <v>438.10416000000009</v>
      </c>
    </row>
    <row r="3062" spans="2:12" ht="16.149999999999999" customHeight="1">
      <c r="B3062" s="759"/>
      <c r="C3062" s="19"/>
      <c r="D3062" s="19"/>
      <c r="E3062" s="19"/>
      <c r="F3062" s="19"/>
      <c r="G3062" s="20"/>
      <c r="H3062" s="68"/>
      <c r="I3062" s="17"/>
      <c r="J3062" s="28"/>
      <c r="K3062" s="17"/>
      <c r="L3062" s="649"/>
    </row>
    <row r="3063" spans="2:12" ht="16.149999999999999" customHeight="1">
      <c r="B3063" s="648" t="s">
        <v>566</v>
      </c>
      <c r="C3063" s="19">
        <v>162</v>
      </c>
      <c r="D3063" s="19"/>
      <c r="E3063" s="19"/>
      <c r="F3063" s="19"/>
      <c r="G3063" s="20"/>
      <c r="H3063" s="68"/>
      <c r="I3063" s="17">
        <v>2</v>
      </c>
      <c r="J3063" s="28"/>
      <c r="K3063" s="17">
        <v>2.69</v>
      </c>
      <c r="L3063" s="649">
        <f>PRODUCT(C3063:K3063)</f>
        <v>871.56</v>
      </c>
    </row>
    <row r="3064" spans="2:12" ht="16.149999999999999" customHeight="1">
      <c r="B3064" s="711"/>
      <c r="C3064" s="19"/>
      <c r="D3064" s="583"/>
      <c r="E3064" s="202"/>
      <c r="F3064" s="583"/>
      <c r="G3064" s="583"/>
      <c r="H3064" s="21"/>
      <c r="I3064" s="28"/>
      <c r="J3064" s="584"/>
      <c r="K3064" s="399"/>
      <c r="L3064" s="649"/>
    </row>
    <row r="3065" spans="2:12" ht="16.149999999999999" customHeight="1">
      <c r="B3065" s="648" t="s">
        <v>1194</v>
      </c>
      <c r="C3065" s="19"/>
      <c r="D3065" s="583">
        <f>12*200</f>
        <v>2400</v>
      </c>
      <c r="E3065" s="202"/>
      <c r="F3065" s="583"/>
      <c r="G3065" s="583"/>
      <c r="H3065" s="21"/>
      <c r="I3065" s="28"/>
      <c r="J3065" s="584"/>
      <c r="K3065" s="399"/>
      <c r="L3065" s="649">
        <f t="shared" ref="L3065" si="203">PRODUCT(C3065:K3065)</f>
        <v>2400</v>
      </c>
    </row>
    <row r="3066" spans="2:12" ht="16.149999999999999" customHeight="1">
      <c r="B3066" s="711"/>
      <c r="C3066" s="19"/>
      <c r="D3066" s="583"/>
      <c r="E3066" s="202"/>
      <c r="F3066" s="583"/>
      <c r="G3066" s="583"/>
      <c r="H3066" s="21"/>
      <c r="I3066" s="28"/>
      <c r="J3066" s="584"/>
      <c r="K3066" s="399"/>
      <c r="L3066" s="649"/>
    </row>
    <row r="3067" spans="2:12">
      <c r="B3067" s="651"/>
      <c r="L3067" s="652"/>
    </row>
    <row r="3068" spans="2:12" ht="15.6" customHeight="1">
      <c r="B3068" s="638" t="s">
        <v>398</v>
      </c>
      <c r="C3068" s="8">
        <v>2</v>
      </c>
      <c r="D3068" s="1008" t="s">
        <v>1027</v>
      </c>
      <c r="E3068" s="1009"/>
      <c r="F3068" s="1009"/>
      <c r="G3068" s="1009"/>
      <c r="H3068" s="1009"/>
      <c r="I3068" s="1009"/>
      <c r="J3068" s="1009"/>
      <c r="K3068" s="1009"/>
      <c r="L3068" s="1010"/>
    </row>
    <row r="3069" spans="2:12" ht="15">
      <c r="B3069" s="1005"/>
      <c r="C3069" s="1006"/>
      <c r="D3069" s="1006"/>
      <c r="E3069" s="1006"/>
      <c r="F3069" s="1006"/>
      <c r="G3069" s="1006"/>
      <c r="H3069" s="1006"/>
      <c r="I3069" s="1006"/>
      <c r="J3069" s="1006"/>
      <c r="K3069" s="1006"/>
      <c r="L3069" s="1007"/>
    </row>
    <row r="3070" spans="2:12" ht="46.9" customHeight="1">
      <c r="B3070" s="642" t="s">
        <v>399</v>
      </c>
      <c r="C3070" s="11">
        <f>+'PROPUESTA ECONOMICA(Proponente)'!C390</f>
        <v>2.2000000000000002</v>
      </c>
      <c r="D3070" s="1015" t="str">
        <f>+VLOOKUP('MEMORIAS DE CANTIDADES'!C3070,'PROPUESTA ECONOMICA(Proponente)'!$C$379:$H$661,5,FALSE)</f>
        <v>ACERO ESTRUCTURAL: ASTM A 500 Gr. C ó A36 - GRADERIAS, BANCA DE SUPLENTES (incluye suministro, figurado y fijación)</v>
      </c>
      <c r="E3070" s="1016"/>
      <c r="F3070" s="1016"/>
      <c r="G3070" s="1016"/>
      <c r="H3070" s="1017"/>
      <c r="I3070" s="11" t="s">
        <v>400</v>
      </c>
      <c r="J3070" s="11" t="str">
        <f>+VLOOKUP('MEMORIAS DE CANTIDADES'!C3070,'PROPUESTA ECONOMICA(Proponente)'!$C$379:$H$661,6,FALSE)</f>
        <v>KG</v>
      </c>
      <c r="K3070" s="11" t="s">
        <v>401</v>
      </c>
      <c r="L3070" s="643">
        <f>SUM(L3071:L3078)</f>
        <v>20668</v>
      </c>
    </row>
    <row r="3071" spans="2:12" ht="15">
      <c r="B3071" s="644"/>
      <c r="C3071" s="16"/>
      <c r="D3071" s="15"/>
      <c r="E3071" s="15"/>
      <c r="F3071" s="15"/>
      <c r="G3071" s="15"/>
      <c r="H3071" s="15"/>
      <c r="I3071" s="15"/>
      <c r="J3071" s="15"/>
      <c r="K3071" s="17"/>
      <c r="L3071" s="645"/>
    </row>
    <row r="3072" spans="2:12" ht="47.25">
      <c r="B3072" s="646" t="s">
        <v>402</v>
      </c>
      <c r="C3072" s="18" t="s">
        <v>403</v>
      </c>
      <c r="D3072" s="18" t="s">
        <v>404</v>
      </c>
      <c r="E3072" s="18" t="s">
        <v>405</v>
      </c>
      <c r="F3072" s="18" t="s">
        <v>406</v>
      </c>
      <c r="G3072" s="18" t="s">
        <v>407</v>
      </c>
      <c r="H3072" s="5" t="s">
        <v>408</v>
      </c>
      <c r="I3072" s="18" t="s">
        <v>409</v>
      </c>
      <c r="J3072" s="5" t="s">
        <v>410</v>
      </c>
      <c r="K3072" s="5" t="s">
        <v>411</v>
      </c>
      <c r="L3072" s="647" t="s">
        <v>412</v>
      </c>
    </row>
    <row r="3073" spans="2:12" ht="16.5">
      <c r="B3073" s="692" t="s">
        <v>918</v>
      </c>
      <c r="C3073" s="351"/>
      <c r="D3073" s="351"/>
      <c r="E3073" s="351"/>
      <c r="F3073" s="353"/>
      <c r="G3073" s="352">
        <v>1500</v>
      </c>
      <c r="H3073" s="807"/>
      <c r="I3073" s="808"/>
      <c r="J3073" s="46">
        <v>2</v>
      </c>
      <c r="K3073" s="354"/>
      <c r="L3073" s="693">
        <f t="shared" ref="L3073:L3074" si="204">PRODUCT(C3073:K3073)</f>
        <v>3000</v>
      </c>
    </row>
    <row r="3074" spans="2:12" ht="15.75">
      <c r="B3074" s="809" t="s">
        <v>1108</v>
      </c>
      <c r="C3074" s="18"/>
      <c r="D3074" s="18"/>
      <c r="E3074" s="18"/>
      <c r="F3074" s="3"/>
      <c r="G3074" s="3">
        <v>8834</v>
      </c>
      <c r="H3074" s="5"/>
      <c r="I3074" s="28"/>
      <c r="J3074" s="39">
        <v>2</v>
      </c>
      <c r="K3074" s="5"/>
      <c r="L3074" s="693">
        <f t="shared" si="204"/>
        <v>17668</v>
      </c>
    </row>
    <row r="3075" spans="2:12" ht="15.75">
      <c r="B3075" s="809"/>
      <c r="C3075" s="18"/>
      <c r="D3075" s="18"/>
      <c r="E3075" s="18"/>
      <c r="F3075" s="3"/>
      <c r="G3075" s="3"/>
      <c r="H3075" s="5"/>
      <c r="I3075" s="28"/>
      <c r="J3075" s="39"/>
      <c r="K3075" s="5"/>
      <c r="L3075" s="649"/>
    </row>
    <row r="3076" spans="2:12" ht="15.75">
      <c r="B3076" s="809"/>
      <c r="C3076" s="18"/>
      <c r="D3076" s="18"/>
      <c r="E3076" s="18"/>
      <c r="F3076" s="3"/>
      <c r="G3076" s="3"/>
      <c r="H3076" s="5"/>
      <c r="I3076" s="28"/>
      <c r="J3076" s="39"/>
      <c r="K3076" s="5"/>
      <c r="L3076" s="649"/>
    </row>
    <row r="3077" spans="2:12" ht="16.5">
      <c r="B3077" s="731"/>
      <c r="C3077" s="19"/>
      <c r="D3077" s="20"/>
      <c r="E3077" s="20"/>
      <c r="F3077" s="47"/>
      <c r="G3077" s="20"/>
      <c r="H3077" s="21"/>
      <c r="I3077" s="41"/>
      <c r="J3077" s="46"/>
      <c r="K3077" s="17"/>
      <c r="L3077" s="649"/>
    </row>
    <row r="3078" spans="2:12">
      <c r="B3078" s="651"/>
      <c r="L3078" s="652"/>
    </row>
    <row r="3079" spans="2:12" ht="15.6" customHeight="1">
      <c r="B3079" s="638" t="s">
        <v>398</v>
      </c>
      <c r="C3079" s="8">
        <v>2</v>
      </c>
      <c r="D3079" s="1008" t="s">
        <v>1027</v>
      </c>
      <c r="E3079" s="1009"/>
      <c r="F3079" s="1009"/>
      <c r="G3079" s="1009"/>
      <c r="H3079" s="1009"/>
      <c r="I3079" s="1009"/>
      <c r="J3079" s="1009"/>
      <c r="K3079" s="1009"/>
      <c r="L3079" s="1010"/>
    </row>
    <row r="3080" spans="2:12" ht="15">
      <c r="B3080" s="1005"/>
      <c r="C3080" s="1006"/>
      <c r="D3080" s="1006"/>
      <c r="E3080" s="1006"/>
      <c r="F3080" s="1006"/>
      <c r="G3080" s="1006"/>
      <c r="H3080" s="1006"/>
      <c r="I3080" s="1006"/>
      <c r="J3080" s="1006"/>
      <c r="K3080" s="1006"/>
      <c r="L3080" s="1007"/>
    </row>
    <row r="3081" spans="2:12" ht="46.9" customHeight="1">
      <c r="B3081" s="642" t="s">
        <v>399</v>
      </c>
      <c r="C3081" s="11">
        <f>+'PROPUESTA ECONOMICA(Proponente)'!C391</f>
        <v>2.2999999999999998</v>
      </c>
      <c r="D3081" s="1015" t="str">
        <f>+VLOOKUP('MEMORIAS DE CANTIDADES'!C3081,'PROPUESTA ECONOMICA(Proponente)'!$C$379:$H$661,5,FALSE)</f>
        <v>ESTRUCTURA EN PERFILERIA IPE: ASTM A 572 Gr. 50 Y Columnas en PTE-16"X12.7mm ASTM A 500 Gr (incluye suministro, figurado y fijación).</v>
      </c>
      <c r="E3081" s="1016"/>
      <c r="F3081" s="1016"/>
      <c r="G3081" s="1016"/>
      <c r="H3081" s="1017"/>
      <c r="I3081" s="11" t="s">
        <v>400</v>
      </c>
      <c r="J3081" s="11" t="str">
        <f>+VLOOKUP('MEMORIAS DE CANTIDADES'!C3081,'PROPUESTA ECONOMICA(Proponente)'!$C$379:$H$661,6,FALSE)</f>
        <v>KG</v>
      </c>
      <c r="K3081" s="11" t="s">
        <v>401</v>
      </c>
      <c r="L3081" s="643">
        <f>SUM(L3082:L3090)</f>
        <v>0</v>
      </c>
    </row>
    <row r="3082" spans="2:12" ht="15">
      <c r="B3082" s="644"/>
      <c r="C3082" s="16"/>
      <c r="D3082" s="15"/>
      <c r="E3082" s="15"/>
      <c r="F3082" s="15"/>
      <c r="G3082" s="15"/>
      <c r="H3082" s="15"/>
      <c r="I3082" s="15"/>
      <c r="J3082" s="15"/>
      <c r="K3082" s="17"/>
      <c r="L3082" s="645"/>
    </row>
    <row r="3083" spans="2:12" ht="47.25">
      <c r="B3083" s="646" t="s">
        <v>402</v>
      </c>
      <c r="C3083" s="18" t="s">
        <v>403</v>
      </c>
      <c r="D3083" s="18" t="s">
        <v>404</v>
      </c>
      <c r="E3083" s="18" t="s">
        <v>405</v>
      </c>
      <c r="F3083" s="18" t="s">
        <v>406</v>
      </c>
      <c r="G3083" s="18" t="s">
        <v>407</v>
      </c>
      <c r="H3083" s="5" t="s">
        <v>408</v>
      </c>
      <c r="I3083" s="18" t="s">
        <v>409</v>
      </c>
      <c r="J3083" s="5" t="s">
        <v>410</v>
      </c>
      <c r="K3083" s="5" t="s">
        <v>411</v>
      </c>
      <c r="L3083" s="647" t="s">
        <v>412</v>
      </c>
    </row>
    <row r="3084" spans="2:12" ht="16.5">
      <c r="B3084" s="708"/>
      <c r="C3084" s="18"/>
      <c r="D3084" s="18"/>
      <c r="E3084" s="18"/>
      <c r="F3084" s="45"/>
      <c r="G3084" s="46"/>
      <c r="H3084" s="5"/>
      <c r="I3084" s="41"/>
      <c r="J3084" s="39"/>
      <c r="K3084" s="5"/>
      <c r="L3084" s="649"/>
    </row>
    <row r="3085" spans="2:12" ht="16.5">
      <c r="B3085" s="708"/>
      <c r="C3085" s="18"/>
      <c r="D3085" s="18"/>
      <c r="E3085" s="18"/>
      <c r="F3085" s="45"/>
      <c r="G3085" s="46"/>
      <c r="H3085" s="5"/>
      <c r="I3085" s="41"/>
      <c r="J3085" s="39"/>
      <c r="K3085" s="5"/>
      <c r="L3085" s="649"/>
    </row>
    <row r="3086" spans="2:12" ht="16.5">
      <c r="B3086" s="708"/>
      <c r="C3086" s="18"/>
      <c r="D3086" s="18"/>
      <c r="E3086" s="18"/>
      <c r="F3086" s="45"/>
      <c r="G3086" s="46"/>
      <c r="H3086" s="5"/>
      <c r="I3086" s="41"/>
      <c r="J3086" s="39"/>
      <c r="K3086" s="5"/>
      <c r="L3086" s="649"/>
    </row>
    <row r="3087" spans="2:12" ht="16.5">
      <c r="B3087" s="708"/>
      <c r="C3087" s="18"/>
      <c r="D3087" s="18"/>
      <c r="E3087" s="18"/>
      <c r="F3087" s="45"/>
      <c r="G3087" s="46"/>
      <c r="H3087" s="5"/>
      <c r="I3087" s="41"/>
      <c r="J3087" s="39"/>
      <c r="K3087" s="5"/>
      <c r="L3087" s="649"/>
    </row>
    <row r="3088" spans="2:12" ht="16.5">
      <c r="B3088" s="708"/>
      <c r="C3088" s="18"/>
      <c r="D3088" s="18"/>
      <c r="E3088" s="18"/>
      <c r="F3088" s="45"/>
      <c r="G3088" s="46"/>
      <c r="H3088" s="5"/>
      <c r="I3088" s="41"/>
      <c r="J3088" s="39"/>
      <c r="K3088" s="5"/>
      <c r="L3088" s="649"/>
    </row>
    <row r="3089" spans="2:13" ht="16.5">
      <c r="B3089" s="708"/>
      <c r="C3089" s="18"/>
      <c r="D3089" s="18"/>
      <c r="E3089" s="18"/>
      <c r="F3089" s="45"/>
      <c r="G3089" s="46"/>
      <c r="H3089" s="5"/>
      <c r="I3089" s="41"/>
      <c r="J3089" s="39"/>
      <c r="K3089" s="5"/>
      <c r="L3089" s="649"/>
    </row>
    <row r="3090" spans="2:13" ht="15.75">
      <c r="B3090" s="981" t="s">
        <v>414</v>
      </c>
      <c r="C3090" s="982"/>
      <c r="D3090" s="982"/>
      <c r="E3090" s="982"/>
      <c r="F3090" s="982"/>
      <c r="G3090" s="982"/>
      <c r="H3090" s="982"/>
      <c r="I3090" s="982"/>
      <c r="J3090" s="982"/>
      <c r="K3090" s="982"/>
      <c r="L3090" s="983"/>
    </row>
    <row r="3091" spans="2:13">
      <c r="B3091" s="651"/>
      <c r="L3091" s="652"/>
    </row>
    <row r="3092" spans="2:13" ht="15.6" customHeight="1">
      <c r="B3092" s="638" t="s">
        <v>398</v>
      </c>
      <c r="C3092" s="8">
        <v>2</v>
      </c>
      <c r="D3092" s="1008" t="s">
        <v>1027</v>
      </c>
      <c r="E3092" s="1009"/>
      <c r="F3092" s="1009"/>
      <c r="G3092" s="1009"/>
      <c r="H3092" s="1009"/>
      <c r="I3092" s="1009"/>
      <c r="J3092" s="1009"/>
      <c r="K3092" s="1009"/>
      <c r="L3092" s="1010"/>
    </row>
    <row r="3093" spans="2:13" ht="15">
      <c r="B3093" s="1005"/>
      <c r="C3093" s="1006"/>
      <c r="D3093" s="1006"/>
      <c r="E3093" s="1006"/>
      <c r="F3093" s="1006"/>
      <c r="G3093" s="1006"/>
      <c r="H3093" s="1006"/>
      <c r="I3093" s="1006"/>
      <c r="J3093" s="1006"/>
      <c r="K3093" s="1006"/>
      <c r="L3093" s="1007"/>
    </row>
    <row r="3094" spans="2:13" ht="31.15" customHeight="1">
      <c r="B3094" s="642" t="s">
        <v>399</v>
      </c>
      <c r="C3094" s="11">
        <f>+'PROPUESTA ECONOMICA(Proponente)'!C393</f>
        <v>2.5</v>
      </c>
      <c r="D3094" s="1015" t="str">
        <f>+VLOOKUP('MEMORIAS DE CANTIDADES'!C3094,'PROPUESTA ECONOMICA(Proponente)'!$C$379:$H$661,5,FALSE)</f>
        <v>Acero de refuerzo Tanque de almacenamiento y Box culvter Tipo 1 y Tipo 2 (incluye suministro, figurado y fijación)</v>
      </c>
      <c r="E3094" s="1016"/>
      <c r="F3094" s="1016"/>
      <c r="G3094" s="1016"/>
      <c r="H3094" s="1017"/>
      <c r="I3094" s="11" t="s">
        <v>400</v>
      </c>
      <c r="J3094" s="11" t="str">
        <f>+VLOOKUP('MEMORIAS DE CANTIDADES'!C3094,'PROPUESTA ECONOMICA(Proponente)'!$C$379:$H$661,6,FALSE)</f>
        <v>KG</v>
      </c>
      <c r="K3094" s="11" t="s">
        <v>401</v>
      </c>
      <c r="L3094" s="657">
        <f>SUM(L3095:L3122)</f>
        <v>167756.478</v>
      </c>
    </row>
    <row r="3095" spans="2:13" ht="15">
      <c r="B3095" s="644"/>
      <c r="C3095" s="16"/>
      <c r="D3095" s="15"/>
      <c r="E3095" s="15"/>
      <c r="F3095" s="15"/>
      <c r="G3095" s="15"/>
      <c r="H3095" s="15"/>
      <c r="I3095" s="15"/>
      <c r="J3095" s="15"/>
      <c r="K3095" s="17"/>
      <c r="L3095" s="645"/>
    </row>
    <row r="3096" spans="2:13" ht="47.25">
      <c r="B3096" s="646" t="s">
        <v>402</v>
      </c>
      <c r="C3096" s="18" t="s">
        <v>403</v>
      </c>
      <c r="D3096" s="18" t="s">
        <v>404</v>
      </c>
      <c r="E3096" s="18" t="s">
        <v>405</v>
      </c>
      <c r="F3096" s="18" t="s">
        <v>406</v>
      </c>
      <c r="G3096" s="18" t="s">
        <v>407</v>
      </c>
      <c r="H3096" s="5" t="s">
        <v>408</v>
      </c>
      <c r="I3096" s="18" t="s">
        <v>409</v>
      </c>
      <c r="J3096" s="5" t="s">
        <v>410</v>
      </c>
      <c r="K3096" s="5" t="s">
        <v>411</v>
      </c>
      <c r="L3096" s="647" t="s">
        <v>412</v>
      </c>
    </row>
    <row r="3097" spans="2:13" ht="33.75" customHeight="1">
      <c r="B3097" s="658" t="s">
        <v>481</v>
      </c>
      <c r="C3097" s="18"/>
      <c r="D3097" s="18"/>
      <c r="E3097" s="18"/>
      <c r="G3097" s="18"/>
      <c r="H3097" s="5"/>
      <c r="I3097" s="41"/>
      <c r="J3097" s="46"/>
      <c r="K3097" s="5"/>
      <c r="L3097" s="649">
        <f t="shared" ref="L3097" si="205">PRODUCT(C3097:K3097)</f>
        <v>0</v>
      </c>
    </row>
    <row r="3098" spans="2:13" ht="16.5">
      <c r="B3098" s="708" t="s">
        <v>482</v>
      </c>
      <c r="C3098" s="48"/>
      <c r="D3098" s="48"/>
      <c r="E3098" s="48"/>
      <c r="F3098" s="45">
        <v>581</v>
      </c>
      <c r="G3098" s="48">
        <v>1</v>
      </c>
      <c r="H3098" s="30"/>
      <c r="I3098" s="41">
        <v>1</v>
      </c>
      <c r="J3098" s="46"/>
      <c r="K3098" s="30"/>
      <c r="L3098" s="649">
        <f>PRODUCT(C3098:K3098)</f>
        <v>581</v>
      </c>
    </row>
    <row r="3099" spans="2:13" ht="16.5">
      <c r="B3099" s="708" t="s">
        <v>483</v>
      </c>
      <c r="C3099" s="48"/>
      <c r="D3099" s="48"/>
      <c r="E3099" s="48"/>
      <c r="F3099" s="45">
        <v>1897.2</v>
      </c>
      <c r="G3099" s="48">
        <v>1</v>
      </c>
      <c r="H3099" s="30"/>
      <c r="I3099" s="41">
        <v>1</v>
      </c>
      <c r="J3099" s="46"/>
      <c r="K3099" s="30"/>
      <c r="L3099" s="649">
        <f>PRODUCT(C3099:K3099)</f>
        <v>1897.2</v>
      </c>
    </row>
    <row r="3100" spans="2:13" ht="16.5">
      <c r="B3100" s="708" t="s">
        <v>484</v>
      </c>
      <c r="C3100" s="48"/>
      <c r="D3100" s="48"/>
      <c r="E3100" s="48"/>
      <c r="F3100" s="45">
        <v>1137.3</v>
      </c>
      <c r="G3100" s="48">
        <v>1</v>
      </c>
      <c r="H3100" s="30"/>
      <c r="I3100" s="41">
        <v>1</v>
      </c>
      <c r="J3100" s="46"/>
      <c r="K3100" s="30"/>
      <c r="L3100" s="649">
        <f>PRODUCT(C3100:K3100)</f>
        <v>1137.3</v>
      </c>
    </row>
    <row r="3101" spans="2:13" ht="16.5">
      <c r="B3101" s="708" t="s">
        <v>485</v>
      </c>
      <c r="C3101" s="48"/>
      <c r="D3101" s="48"/>
      <c r="E3101" s="48"/>
      <c r="F3101" s="49">
        <f>5.7*2*68+34*(12+9+4)+2*8*1.5</f>
        <v>1649.2</v>
      </c>
      <c r="G3101" s="48">
        <v>1</v>
      </c>
      <c r="H3101" s="30"/>
      <c r="I3101" s="41">
        <v>1</v>
      </c>
      <c r="J3101" s="46"/>
      <c r="K3101" s="30"/>
      <c r="L3101" s="649">
        <f>PRODUCT(C3101:K3101)</f>
        <v>1649.2</v>
      </c>
      <c r="M3101" s="58"/>
    </row>
    <row r="3102" spans="2:13" ht="16.5">
      <c r="B3102" s="734"/>
      <c r="C3102" s="50"/>
      <c r="D3102" s="50"/>
      <c r="E3102" s="50"/>
      <c r="F3102" s="51"/>
      <c r="G3102" s="50"/>
      <c r="H3102" s="52"/>
      <c r="I3102" s="53"/>
      <c r="J3102" s="54"/>
      <c r="K3102" s="52"/>
      <c r="L3102" s="691"/>
    </row>
    <row r="3103" spans="2:13" ht="31.5">
      <c r="B3103" s="692" t="s">
        <v>487</v>
      </c>
      <c r="C3103" s="351"/>
      <c r="D3103" s="351"/>
      <c r="E3103" s="351"/>
      <c r="F3103" s="353"/>
      <c r="G3103" s="351"/>
      <c r="H3103" s="354"/>
      <c r="I3103" s="808"/>
      <c r="J3103" s="355"/>
      <c r="K3103" s="354"/>
      <c r="L3103" s="693"/>
    </row>
    <row r="3104" spans="2:13" ht="16.5">
      <c r="B3104" s="692"/>
      <c r="C3104" s="351"/>
      <c r="D3104" s="351"/>
      <c r="E3104" s="351"/>
      <c r="F3104" s="353"/>
      <c r="G3104" s="351"/>
      <c r="H3104" s="354"/>
      <c r="I3104" s="808"/>
      <c r="J3104" s="355"/>
      <c r="K3104" s="354"/>
      <c r="L3104" s="693"/>
    </row>
    <row r="3105" spans="2:13" ht="15.75">
      <c r="B3105" s="740" t="s">
        <v>423</v>
      </c>
      <c r="C3105" s="18"/>
      <c r="D3105" s="18"/>
      <c r="E3105" s="18"/>
      <c r="F3105" s="45">
        <v>263.38</v>
      </c>
      <c r="G3105" s="18">
        <v>0.56000000000000005</v>
      </c>
      <c r="H3105" s="5"/>
      <c r="I3105" s="55">
        <v>76</v>
      </c>
      <c r="J3105" s="56"/>
      <c r="K3105" s="283">
        <f>6/5.6</f>
        <v>1.0714285714285714</v>
      </c>
      <c r="L3105" s="656">
        <f>PRODUCT(C3105:K3105)</f>
        <v>12010.128000000001</v>
      </c>
    </row>
    <row r="3106" spans="2:13" ht="15.75">
      <c r="B3106" s="740"/>
      <c r="C3106" s="18"/>
      <c r="D3106" s="18"/>
      <c r="E3106" s="18"/>
      <c r="F3106" s="45"/>
      <c r="G3106" s="18"/>
      <c r="H3106" s="5"/>
      <c r="I3106" s="55"/>
      <c r="J3106" s="56"/>
      <c r="K3106" s="5"/>
      <c r="L3106" s="656"/>
    </row>
    <row r="3107" spans="2:13" ht="15.75">
      <c r="B3107" s="740" t="s">
        <v>424</v>
      </c>
      <c r="C3107" s="18"/>
      <c r="D3107" s="18"/>
      <c r="E3107" s="18"/>
      <c r="F3107" s="45">
        <v>2.7</v>
      </c>
      <c r="G3107" s="137">
        <v>1</v>
      </c>
      <c r="H3107" s="5"/>
      <c r="I3107" s="55">
        <v>1085</v>
      </c>
      <c r="J3107" s="56"/>
      <c r="K3107" s="137">
        <v>1</v>
      </c>
      <c r="L3107" s="656">
        <f>PRODUCT(C3107:K3107)</f>
        <v>2929.5</v>
      </c>
    </row>
    <row r="3108" spans="2:13" ht="15.75">
      <c r="B3108" s="740" t="s">
        <v>424</v>
      </c>
      <c r="C3108" s="18"/>
      <c r="D3108" s="18"/>
      <c r="E3108" s="18"/>
      <c r="F3108" s="45">
        <v>4.8</v>
      </c>
      <c r="G3108" s="137">
        <v>1</v>
      </c>
      <c r="H3108" s="5"/>
      <c r="I3108" s="55">
        <v>1085</v>
      </c>
      <c r="J3108" s="56"/>
      <c r="K3108" s="137">
        <v>1</v>
      </c>
      <c r="L3108" s="656">
        <f>PRODUCT(C3108:K3108)</f>
        <v>5208</v>
      </c>
    </row>
    <row r="3109" spans="2:13" ht="15.75">
      <c r="B3109" s="740" t="s">
        <v>424</v>
      </c>
      <c r="C3109" s="18"/>
      <c r="D3109" s="18"/>
      <c r="E3109" s="18"/>
      <c r="F3109" s="45">
        <v>2.9</v>
      </c>
      <c r="G3109" s="137">
        <v>1</v>
      </c>
      <c r="H3109" s="5"/>
      <c r="I3109" s="55">
        <v>1085</v>
      </c>
      <c r="J3109" s="56"/>
      <c r="K3109" s="137">
        <v>1</v>
      </c>
      <c r="L3109" s="656">
        <f t="shared" ref="L3109:L3112" si="206">PRODUCT(C3109:K3109)</f>
        <v>3146.5</v>
      </c>
    </row>
    <row r="3110" spans="2:13" ht="15.75">
      <c r="B3110" s="740" t="s">
        <v>424</v>
      </c>
      <c r="C3110" s="18"/>
      <c r="D3110" s="18"/>
      <c r="E3110" s="18"/>
      <c r="F3110" s="45">
        <v>2.7</v>
      </c>
      <c r="G3110" s="137">
        <v>1</v>
      </c>
      <c r="H3110" s="5"/>
      <c r="I3110" s="55">
        <v>1085</v>
      </c>
      <c r="J3110" s="56"/>
      <c r="K3110" s="137">
        <v>1</v>
      </c>
      <c r="L3110" s="656">
        <f t="shared" si="206"/>
        <v>2929.5</v>
      </c>
    </row>
    <row r="3111" spans="2:13" ht="15.75">
      <c r="B3111" s="740" t="s">
        <v>424</v>
      </c>
      <c r="C3111" s="18"/>
      <c r="D3111" s="18"/>
      <c r="E3111" s="18"/>
      <c r="F3111" s="45">
        <v>2.2999999999999998</v>
      </c>
      <c r="G3111" s="137">
        <v>1</v>
      </c>
      <c r="H3111" s="5"/>
      <c r="I3111" s="55">
        <v>1085</v>
      </c>
      <c r="J3111" s="56"/>
      <c r="K3111" s="137">
        <v>1</v>
      </c>
      <c r="L3111" s="656">
        <f t="shared" si="206"/>
        <v>2495.5</v>
      </c>
      <c r="M3111" s="58"/>
    </row>
    <row r="3112" spans="2:13" ht="15.75">
      <c r="B3112" s="740" t="s">
        <v>424</v>
      </c>
      <c r="C3112" s="18"/>
      <c r="D3112" s="18"/>
      <c r="E3112" s="18"/>
      <c r="F3112" s="45">
        <v>2.1</v>
      </c>
      <c r="G3112" s="137">
        <v>1</v>
      </c>
      <c r="H3112" s="5"/>
      <c r="I3112" s="55">
        <v>1085</v>
      </c>
      <c r="J3112" s="56"/>
      <c r="K3112" s="137">
        <v>2</v>
      </c>
      <c r="L3112" s="656">
        <f t="shared" si="206"/>
        <v>4557</v>
      </c>
      <c r="M3112" s="58"/>
    </row>
    <row r="3113" spans="2:13" ht="15.75">
      <c r="B3113" s="740" t="s">
        <v>424</v>
      </c>
      <c r="C3113" s="18"/>
      <c r="D3113" s="18"/>
      <c r="E3113" s="18"/>
      <c r="F3113" s="45">
        <v>1.3</v>
      </c>
      <c r="G3113" s="137">
        <v>1</v>
      </c>
      <c r="H3113" s="5"/>
      <c r="I3113" s="55">
        <v>1085</v>
      </c>
      <c r="J3113" s="56"/>
      <c r="K3113" s="137">
        <v>2</v>
      </c>
      <c r="L3113" s="656">
        <f>PRODUCT(C3113:K3113)</f>
        <v>2821</v>
      </c>
    </row>
    <row r="3114" spans="2:13" ht="15.75">
      <c r="B3114" s="740"/>
      <c r="C3114" s="18"/>
      <c r="D3114" s="18"/>
      <c r="E3114" s="18"/>
      <c r="F3114" s="45"/>
      <c r="G3114" s="18"/>
      <c r="H3114" s="5"/>
      <c r="I3114" s="763"/>
      <c r="J3114" s="810"/>
      <c r="K3114" s="811"/>
      <c r="L3114" s="656"/>
    </row>
    <row r="3115" spans="2:13" ht="15.75">
      <c r="B3115" s="740" t="s">
        <v>426</v>
      </c>
      <c r="C3115" s="18"/>
      <c r="D3115" s="18"/>
      <c r="E3115" s="18"/>
      <c r="F3115" s="45">
        <v>0.5</v>
      </c>
      <c r="G3115" s="18">
        <v>2.25</v>
      </c>
      <c r="H3115" s="5"/>
      <c r="I3115" s="55">
        <v>30</v>
      </c>
      <c r="J3115" s="56"/>
      <c r="K3115" s="5">
        <v>29</v>
      </c>
      <c r="L3115" s="656">
        <f>PRODUCT(C3115:K3115)</f>
        <v>978.75</v>
      </c>
    </row>
    <row r="3116" spans="2:13" ht="15.75">
      <c r="B3116" s="708"/>
      <c r="C3116" s="18"/>
      <c r="D3116" s="18"/>
      <c r="E3116" s="18"/>
      <c r="F3116" s="45"/>
      <c r="G3116" s="18"/>
      <c r="H3116" s="5"/>
      <c r="I3116" s="55"/>
      <c r="J3116" s="56"/>
      <c r="K3116" s="5"/>
      <c r="L3116" s="649"/>
    </row>
    <row r="3117" spans="2:13" ht="15.75">
      <c r="B3117" s="658" t="s">
        <v>486</v>
      </c>
      <c r="C3117" s="18"/>
      <c r="D3117" s="18"/>
      <c r="E3117" s="18"/>
      <c r="F3117" s="45"/>
      <c r="G3117" s="18"/>
      <c r="H3117" s="5"/>
      <c r="I3117" s="55"/>
      <c r="J3117" s="56"/>
      <c r="K3117" s="5"/>
      <c r="L3117" s="649"/>
      <c r="M3117" s="58"/>
    </row>
    <row r="3118" spans="2:13" ht="15">
      <c r="B3118" s="740" t="s">
        <v>423</v>
      </c>
      <c r="C3118" s="19"/>
      <c r="D3118" s="20"/>
      <c r="E3118" s="20"/>
      <c r="F3118" s="45">
        <v>7.5</v>
      </c>
      <c r="G3118" s="19">
        <v>0.56000000000000005</v>
      </c>
      <c r="H3118" s="21"/>
      <c r="I3118" s="220">
        <v>6462</v>
      </c>
      <c r="J3118" s="56"/>
      <c r="K3118" s="17"/>
      <c r="L3118" s="649">
        <f>PRODUCT(C3118:K3118)</f>
        <v>27140.400000000001</v>
      </c>
    </row>
    <row r="3119" spans="2:13" ht="15">
      <c r="B3119" s="740" t="s">
        <v>424</v>
      </c>
      <c r="C3119" s="19"/>
      <c r="D3119" s="20"/>
      <c r="E3119" s="20"/>
      <c r="F3119" s="45">
        <v>7.5</v>
      </c>
      <c r="G3119" s="364">
        <v>1</v>
      </c>
      <c r="H3119" s="219"/>
      <c r="I3119" s="220">
        <v>13035</v>
      </c>
      <c r="J3119" s="56"/>
      <c r="K3119" s="17"/>
      <c r="L3119" s="649">
        <f>PRODUCT(C3119:K3119)</f>
        <v>97762.5</v>
      </c>
    </row>
    <row r="3120" spans="2:13" ht="15.75">
      <c r="B3120" s="740" t="s">
        <v>426</v>
      </c>
      <c r="C3120" s="18"/>
      <c r="D3120" s="18"/>
      <c r="E3120" s="18"/>
      <c r="F3120" s="45">
        <v>0.5</v>
      </c>
      <c r="G3120" s="19">
        <v>2.25</v>
      </c>
      <c r="H3120" s="5"/>
      <c r="I3120" s="55">
        <v>38</v>
      </c>
      <c r="J3120" s="56"/>
      <c r="K3120" s="5">
        <v>12</v>
      </c>
      <c r="L3120" s="649">
        <f>PRODUCT(C3120:K3120)</f>
        <v>513</v>
      </c>
    </row>
    <row r="3121" spans="2:12" ht="15">
      <c r="B3121" s="740"/>
      <c r="C3121" s="19"/>
      <c r="D3121" s="20"/>
      <c r="E3121" s="20"/>
      <c r="F3121" s="45"/>
      <c r="G3121" s="57"/>
      <c r="H3121" s="21"/>
      <c r="I3121" s="55"/>
      <c r="J3121" s="56"/>
      <c r="K3121" s="17"/>
      <c r="L3121" s="649"/>
    </row>
    <row r="3122" spans="2:12" ht="15.75">
      <c r="B3122" s="981" t="s">
        <v>414</v>
      </c>
      <c r="C3122" s="982"/>
      <c r="D3122" s="982"/>
      <c r="E3122" s="982"/>
      <c r="F3122" s="982"/>
      <c r="G3122" s="982"/>
      <c r="H3122" s="982"/>
      <c r="I3122" s="982"/>
      <c r="J3122" s="982"/>
      <c r="K3122" s="982"/>
      <c r="L3122" s="983"/>
    </row>
    <row r="3123" spans="2:12">
      <c r="B3123" s="651"/>
      <c r="L3123" s="652"/>
    </row>
    <row r="3124" spans="2:12" ht="15.6" customHeight="1">
      <c r="B3124" s="638" t="s">
        <v>398</v>
      </c>
      <c r="C3124" s="8">
        <v>3</v>
      </c>
      <c r="D3124" s="1008" t="s">
        <v>1038</v>
      </c>
      <c r="E3124" s="1009"/>
      <c r="F3124" s="1009"/>
      <c r="G3124" s="1009"/>
      <c r="H3124" s="1009"/>
      <c r="I3124" s="1009"/>
      <c r="J3124" s="1009"/>
      <c r="K3124" s="1009"/>
      <c r="L3124" s="1010"/>
    </row>
    <row r="3125" spans="2:12" ht="15">
      <c r="B3125" s="1005"/>
      <c r="C3125" s="1006"/>
      <c r="D3125" s="1006"/>
      <c r="E3125" s="1006"/>
      <c r="F3125" s="1006"/>
      <c r="G3125" s="1006"/>
      <c r="H3125" s="1006"/>
      <c r="I3125" s="1006"/>
      <c r="J3125" s="1006"/>
      <c r="K3125" s="1006"/>
      <c r="L3125" s="1007"/>
    </row>
    <row r="3126" spans="2:12" ht="31.15" customHeight="1">
      <c r="B3126" s="642" t="s">
        <v>399</v>
      </c>
      <c r="C3126" s="11">
        <f>+'PROPUESTA ECONOMICA(Proponente)'!C396</f>
        <v>3.1</v>
      </c>
      <c r="D3126" s="1015" t="str">
        <f>+VLOOKUP('MEMORIAS DE CANTIDADES'!C3126,'PROPUESTA ECONOMICA(Proponente)'!$C$379:$H$661,5,FALSE)</f>
        <v>EXCAVACIONES :Excavación manual, cimentación (Incluye cargue, transporte y disposición final).</v>
      </c>
      <c r="E3126" s="1016"/>
      <c r="F3126" s="1016"/>
      <c r="G3126" s="1016"/>
      <c r="H3126" s="1017"/>
      <c r="I3126" s="11" t="s">
        <v>400</v>
      </c>
      <c r="J3126" s="11" t="str">
        <f>+VLOOKUP('MEMORIAS DE CANTIDADES'!C3126,'PROPUESTA ECONOMICA(Proponente)'!$C$379:$H$661,6,FALSE)</f>
        <v>m3</v>
      </c>
      <c r="K3126" s="11" t="s">
        <v>401</v>
      </c>
      <c r="L3126" s="643">
        <f>SUM(L3127:L3235)</f>
        <v>10886.3776</v>
      </c>
    </row>
    <row r="3127" spans="2:12" ht="15">
      <c r="B3127" s="644"/>
      <c r="C3127" s="16"/>
      <c r="D3127" s="15"/>
      <c r="E3127" s="15"/>
      <c r="F3127" s="15"/>
      <c r="G3127" s="15"/>
      <c r="H3127" s="15"/>
      <c r="I3127" s="15"/>
      <c r="J3127" s="15"/>
      <c r="K3127" s="17"/>
      <c r="L3127" s="645"/>
    </row>
    <row r="3128" spans="2:12" ht="47.25">
      <c r="B3128" s="646" t="s">
        <v>402</v>
      </c>
      <c r="C3128" s="18" t="s">
        <v>403</v>
      </c>
      <c r="D3128" s="18" t="s">
        <v>404</v>
      </c>
      <c r="E3128" s="18" t="s">
        <v>405</v>
      </c>
      <c r="F3128" s="18" t="s">
        <v>406</v>
      </c>
      <c r="G3128" s="18" t="s">
        <v>407</v>
      </c>
      <c r="H3128" s="5" t="s">
        <v>408</v>
      </c>
      <c r="I3128" s="18" t="s">
        <v>409</v>
      </c>
      <c r="J3128" s="5" t="s">
        <v>410</v>
      </c>
      <c r="K3128" s="5" t="s">
        <v>411</v>
      </c>
      <c r="L3128" s="647" t="s">
        <v>412</v>
      </c>
    </row>
    <row r="3129" spans="2:12" ht="16.5">
      <c r="B3129" s="658" t="s">
        <v>438</v>
      </c>
      <c r="C3129" s="18"/>
      <c r="D3129" s="18"/>
      <c r="E3129" s="18"/>
      <c r="G3129" s="18"/>
      <c r="H3129" s="5"/>
      <c r="I3129" s="41"/>
      <c r="J3129" s="46"/>
      <c r="K3129" s="5"/>
      <c r="L3129" s="649"/>
    </row>
    <row r="3130" spans="2:12" ht="16.5">
      <c r="B3130" s="708" t="s">
        <v>440</v>
      </c>
      <c r="C3130" s="48"/>
      <c r="D3130" s="48">
        <v>4.4000000000000004</v>
      </c>
      <c r="E3130" s="48">
        <v>1.8</v>
      </c>
      <c r="F3130" s="45">
        <v>7.5</v>
      </c>
      <c r="G3130" s="48"/>
      <c r="H3130" s="30"/>
      <c r="I3130" s="41">
        <v>3</v>
      </c>
      <c r="J3130" s="46">
        <v>1.1000000000000001</v>
      </c>
      <c r="K3130" s="30"/>
      <c r="L3130" s="649">
        <f>PRODUCT(C3130:K3130)</f>
        <v>196.02000000000004</v>
      </c>
    </row>
    <row r="3131" spans="2:12" ht="16.5">
      <c r="B3131" s="708" t="s">
        <v>441</v>
      </c>
      <c r="C3131" s="48"/>
      <c r="D3131" s="48">
        <v>2.5</v>
      </c>
      <c r="E3131" s="48">
        <v>1.8</v>
      </c>
      <c r="F3131" s="45">
        <v>6.65</v>
      </c>
      <c r="G3131" s="48"/>
      <c r="H3131" s="30"/>
      <c r="I3131" s="41">
        <v>1</v>
      </c>
      <c r="J3131" s="46">
        <v>1.1000000000000001</v>
      </c>
      <c r="K3131" s="30"/>
      <c r="L3131" s="649">
        <f t="shared" ref="L3131:L3144" si="207">PRODUCT(C3131:K3131)</f>
        <v>32.917500000000004</v>
      </c>
    </row>
    <row r="3132" spans="2:12" ht="16.5">
      <c r="B3132" s="708" t="s">
        <v>488</v>
      </c>
      <c r="C3132" s="48"/>
      <c r="D3132" s="48">
        <v>0.4</v>
      </c>
      <c r="E3132" s="48">
        <v>0.8</v>
      </c>
      <c r="F3132" s="45">
        <f>10.09*2+6.35*2+4.26*2+1.15*2</f>
        <v>43.699999999999989</v>
      </c>
      <c r="G3132" s="48"/>
      <c r="H3132" s="30"/>
      <c r="I3132" s="41"/>
      <c r="J3132" s="46">
        <v>1.1000000000000001</v>
      </c>
      <c r="K3132" s="30"/>
      <c r="L3132" s="649">
        <f t="shared" si="207"/>
        <v>15.382399999999999</v>
      </c>
    </row>
    <row r="3133" spans="2:12" ht="16.5">
      <c r="B3133" s="708" t="s">
        <v>489</v>
      </c>
      <c r="C3133" s="48"/>
      <c r="D3133" s="48">
        <v>0.5</v>
      </c>
      <c r="E3133" s="48">
        <v>0.8</v>
      </c>
      <c r="F3133" s="45">
        <v>3.3</v>
      </c>
      <c r="G3133" s="48"/>
      <c r="H3133" s="30"/>
      <c r="I3133" s="41"/>
      <c r="J3133" s="46">
        <v>1.1000000000000001</v>
      </c>
      <c r="K3133" s="30"/>
      <c r="L3133" s="649">
        <f t="shared" si="207"/>
        <v>1.4520000000000002</v>
      </c>
    </row>
    <row r="3134" spans="2:12" ht="16.5">
      <c r="B3134" s="708" t="s">
        <v>490</v>
      </c>
      <c r="C3134" s="48"/>
      <c r="D3134" s="48">
        <v>0.3</v>
      </c>
      <c r="E3134" s="48">
        <v>0.8</v>
      </c>
      <c r="F3134" s="45">
        <f>3.6*7</f>
        <v>25.2</v>
      </c>
      <c r="G3134" s="48"/>
      <c r="H3134" s="30"/>
      <c r="I3134" s="41"/>
      <c r="J3134" s="46">
        <v>1.1000000000000001</v>
      </c>
      <c r="K3134" s="30"/>
      <c r="L3134" s="649">
        <f t="shared" si="207"/>
        <v>6.6528000000000009</v>
      </c>
    </row>
    <row r="3135" spans="2:12" ht="16.5">
      <c r="B3135" s="708" t="s">
        <v>491</v>
      </c>
      <c r="C3135" s="48"/>
      <c r="D3135" s="48">
        <v>0.3</v>
      </c>
      <c r="E3135" s="48">
        <v>0.8</v>
      </c>
      <c r="F3135" s="45">
        <v>3.88</v>
      </c>
      <c r="G3135" s="48"/>
      <c r="H3135" s="30"/>
      <c r="I3135" s="41"/>
      <c r="J3135" s="46">
        <v>1.1000000000000001</v>
      </c>
      <c r="K3135" s="30"/>
      <c r="L3135" s="649">
        <f t="shared" si="207"/>
        <v>1.0243199999999999</v>
      </c>
    </row>
    <row r="3136" spans="2:12" ht="16.5">
      <c r="B3136" s="708"/>
      <c r="C3136" s="48"/>
      <c r="D3136" s="48"/>
      <c r="E3136" s="48"/>
      <c r="F3136" s="45"/>
      <c r="G3136" s="48"/>
      <c r="H3136" s="30"/>
      <c r="I3136" s="41"/>
      <c r="J3136" s="46"/>
      <c r="K3136" s="30"/>
      <c r="L3136" s="649"/>
    </row>
    <row r="3137" spans="2:14" ht="16.5">
      <c r="B3137" s="708"/>
      <c r="C3137" s="48"/>
      <c r="D3137" s="48"/>
      <c r="E3137" s="48"/>
      <c r="F3137" s="45"/>
      <c r="G3137" s="48"/>
      <c r="H3137" s="30"/>
      <c r="I3137" s="41"/>
      <c r="J3137" s="46"/>
      <c r="K3137" s="30"/>
      <c r="L3137" s="649"/>
      <c r="N3137" s="213"/>
    </row>
    <row r="3138" spans="2:14" ht="16.5">
      <c r="B3138" s="658" t="s">
        <v>464</v>
      </c>
      <c r="C3138" s="48"/>
      <c r="D3138" s="48"/>
      <c r="E3138" s="48"/>
      <c r="F3138" s="49"/>
      <c r="G3138" s="48"/>
      <c r="H3138" s="30"/>
      <c r="I3138" s="41"/>
      <c r="J3138" s="46">
        <v>1.1000000000000001</v>
      </c>
      <c r="K3138" s="30"/>
      <c r="L3138" s="649"/>
    </row>
    <row r="3139" spans="2:14" ht="16.5">
      <c r="B3139" s="734" t="s">
        <v>465</v>
      </c>
      <c r="C3139" s="50"/>
      <c r="D3139" s="59">
        <v>4.4000000000000004</v>
      </c>
      <c r="E3139" s="59">
        <v>1.8</v>
      </c>
      <c r="F3139" s="51">
        <v>7.5</v>
      </c>
      <c r="G3139" s="50"/>
      <c r="H3139" s="52"/>
      <c r="I3139" s="53">
        <v>4</v>
      </c>
      <c r="J3139" s="46">
        <v>1.1000000000000001</v>
      </c>
      <c r="K3139" s="52"/>
      <c r="L3139" s="649">
        <f t="shared" si="207"/>
        <v>261.36000000000007</v>
      </c>
    </row>
    <row r="3140" spans="2:14" ht="16.5">
      <c r="B3140" s="812" t="s">
        <v>466</v>
      </c>
      <c r="C3140" s="351"/>
      <c r="D3140" s="352">
        <v>2.5</v>
      </c>
      <c r="E3140" s="59">
        <v>1.8</v>
      </c>
      <c r="F3140" s="353">
        <v>6.65</v>
      </c>
      <c r="G3140" s="351"/>
      <c r="H3140" s="354"/>
      <c r="I3140" s="808">
        <v>2</v>
      </c>
      <c r="J3140" s="46">
        <v>1.1000000000000001</v>
      </c>
      <c r="K3140" s="354"/>
      <c r="L3140" s="649">
        <f t="shared" si="207"/>
        <v>65.835000000000008</v>
      </c>
    </row>
    <row r="3141" spans="2:14" ht="16.5">
      <c r="B3141" s="708" t="s">
        <v>492</v>
      </c>
      <c r="C3141" s="351"/>
      <c r="D3141" s="352">
        <v>0.3</v>
      </c>
      <c r="E3141" s="59">
        <v>0.8</v>
      </c>
      <c r="F3141" s="353">
        <f>5.05*2+4.8*2</f>
        <v>19.7</v>
      </c>
      <c r="G3141" s="351"/>
      <c r="H3141" s="354"/>
      <c r="I3141" s="53">
        <v>2</v>
      </c>
      <c r="J3141" s="46">
        <v>1.1000000000000001</v>
      </c>
      <c r="K3141" s="354">
        <v>2</v>
      </c>
      <c r="L3141" s="649">
        <f t="shared" si="207"/>
        <v>20.8032</v>
      </c>
    </row>
    <row r="3142" spans="2:14" ht="16.5">
      <c r="B3142" s="708" t="s">
        <v>493</v>
      </c>
      <c r="C3142" s="351"/>
      <c r="D3142" s="352">
        <v>0.5</v>
      </c>
      <c r="E3142" s="59">
        <v>0.8</v>
      </c>
      <c r="F3142" s="353">
        <f>3.08*2</f>
        <v>6.16</v>
      </c>
      <c r="G3142" s="351"/>
      <c r="H3142" s="354"/>
      <c r="I3142" s="53">
        <v>2</v>
      </c>
      <c r="J3142" s="46">
        <v>1.1000000000000001</v>
      </c>
      <c r="K3142" s="354">
        <v>2</v>
      </c>
      <c r="L3142" s="649">
        <f t="shared" si="207"/>
        <v>10.841600000000003</v>
      </c>
    </row>
    <row r="3143" spans="2:14" ht="16.5">
      <c r="B3143" s="708" t="s">
        <v>494</v>
      </c>
      <c r="C3143" s="351"/>
      <c r="D3143" s="352">
        <v>0.3</v>
      </c>
      <c r="E3143" s="59">
        <v>0.8</v>
      </c>
      <c r="F3143" s="353">
        <f>3.48*2</f>
        <v>6.96</v>
      </c>
      <c r="G3143" s="351"/>
      <c r="H3143" s="354"/>
      <c r="I3143" s="53">
        <v>2</v>
      </c>
      <c r="J3143" s="46">
        <v>1.1000000000000001</v>
      </c>
      <c r="K3143" s="354">
        <v>2</v>
      </c>
      <c r="L3143" s="649">
        <f t="shared" si="207"/>
        <v>7.3497599999999998</v>
      </c>
    </row>
    <row r="3144" spans="2:14" ht="16.5">
      <c r="B3144" s="708" t="s">
        <v>495</v>
      </c>
      <c r="C3144" s="351"/>
      <c r="D3144" s="352">
        <v>0.3</v>
      </c>
      <c r="E3144" s="59">
        <v>0.8</v>
      </c>
      <c r="F3144" s="353">
        <v>1.72</v>
      </c>
      <c r="G3144" s="351"/>
      <c r="H3144" s="354"/>
      <c r="I3144" s="53">
        <v>2</v>
      </c>
      <c r="J3144" s="46">
        <v>1.1000000000000001</v>
      </c>
      <c r="K3144" s="354">
        <v>2</v>
      </c>
      <c r="L3144" s="649">
        <f t="shared" si="207"/>
        <v>1.8163200000000002</v>
      </c>
    </row>
    <row r="3145" spans="2:14" ht="16.5">
      <c r="B3145" s="734"/>
      <c r="C3145" s="19"/>
      <c r="D3145" s="19"/>
      <c r="E3145" s="59"/>
      <c r="F3145" s="47"/>
      <c r="G3145" s="57"/>
      <c r="H3145" s="21"/>
      <c r="I3145" s="55"/>
      <c r="J3145" s="46"/>
      <c r="K3145" s="5"/>
      <c r="L3145" s="649"/>
    </row>
    <row r="3146" spans="2:14" ht="16.5">
      <c r="B3146" s="734" t="s">
        <v>498</v>
      </c>
      <c r="C3146" s="19"/>
      <c r="D3146" s="59">
        <v>4.5</v>
      </c>
      <c r="E3146" s="59">
        <v>2</v>
      </c>
      <c r="F3146" s="47">
        <v>222</v>
      </c>
      <c r="G3146" s="57"/>
      <c r="H3146" s="21"/>
      <c r="I3146" s="55"/>
      <c r="J3146" s="46">
        <v>1.1000000000000001</v>
      </c>
      <c r="K3146" s="5"/>
      <c r="L3146" s="649">
        <f>PRODUCT(C3146:K3146)</f>
        <v>2197.8000000000002</v>
      </c>
    </row>
    <row r="3147" spans="2:14" ht="16.5">
      <c r="B3147" s="734" t="s">
        <v>497</v>
      </c>
      <c r="C3147" s="19"/>
      <c r="D3147" s="59">
        <v>10</v>
      </c>
      <c r="E3147" s="59">
        <v>1.8</v>
      </c>
      <c r="F3147" s="47">
        <v>173</v>
      </c>
      <c r="G3147" s="57"/>
      <c r="H3147" s="21"/>
      <c r="I3147" s="55"/>
      <c r="J3147" s="46">
        <v>1.1000000000000001</v>
      </c>
      <c r="K3147" s="5"/>
      <c r="L3147" s="649">
        <f>PRODUCT(C3147:K3147)</f>
        <v>3425.4</v>
      </c>
    </row>
    <row r="3148" spans="2:14" ht="16.5">
      <c r="B3148" s="734"/>
      <c r="C3148" s="19"/>
      <c r="D3148" s="59"/>
      <c r="E3148" s="59"/>
      <c r="F3148" s="47"/>
      <c r="G3148" s="57"/>
      <c r="H3148" s="21"/>
      <c r="I3148" s="55"/>
      <c r="J3148" s="46">
        <v>1.1000000000000001</v>
      </c>
      <c r="K3148" s="5"/>
      <c r="L3148" s="649"/>
    </row>
    <row r="3149" spans="2:14" ht="16.5">
      <c r="B3149" s="734" t="s">
        <v>481</v>
      </c>
      <c r="C3149" s="19"/>
      <c r="D3149" s="59">
        <v>6.5</v>
      </c>
      <c r="E3149" s="48">
        <v>1.8</v>
      </c>
      <c r="F3149" s="47">
        <v>12.45</v>
      </c>
      <c r="G3149" s="57"/>
      <c r="H3149" s="21"/>
      <c r="I3149" s="55"/>
      <c r="J3149" s="46">
        <v>1.1000000000000001</v>
      </c>
      <c r="K3149" s="5"/>
      <c r="L3149" s="649">
        <f>PRODUCT(C3149:K3149)</f>
        <v>160.23150000000001</v>
      </c>
    </row>
    <row r="3150" spans="2:14" ht="16.5">
      <c r="B3150" s="734"/>
      <c r="C3150" s="19"/>
      <c r="D3150" s="19"/>
      <c r="E3150" s="48"/>
      <c r="F3150" s="47"/>
      <c r="G3150" s="57"/>
      <c r="H3150" s="21"/>
      <c r="I3150" s="55"/>
      <c r="J3150" s="46"/>
      <c r="K3150" s="5"/>
      <c r="L3150" s="649"/>
    </row>
    <row r="3151" spans="2:14" ht="16.5">
      <c r="B3151" s="658" t="s">
        <v>889</v>
      </c>
      <c r="C3151" s="19"/>
      <c r="D3151" s="19"/>
      <c r="E3151" s="48"/>
      <c r="F3151" s="47"/>
      <c r="G3151" s="57"/>
      <c r="H3151" s="21"/>
      <c r="I3151" s="55"/>
      <c r="J3151" s="46"/>
      <c r="K3151" s="5"/>
      <c r="L3151" s="649"/>
    </row>
    <row r="3152" spans="2:14" ht="16.5">
      <c r="B3152" s="813" t="s">
        <v>943</v>
      </c>
      <c r="C3152" s="19"/>
      <c r="D3152" s="19">
        <v>2.1</v>
      </c>
      <c r="E3152" s="236">
        <v>1.8</v>
      </c>
      <c r="F3152" s="48">
        <v>5.15</v>
      </c>
      <c r="G3152" s="57"/>
      <c r="H3152" s="21"/>
      <c r="I3152" s="55">
        <v>2</v>
      </c>
      <c r="J3152" s="46">
        <v>1.1000000000000001</v>
      </c>
      <c r="K3152" s="354">
        <v>2</v>
      </c>
      <c r="L3152" s="649">
        <f t="shared" ref="L3152:L3179" si="208">PRODUCT(C3152:K3152)</f>
        <v>85.654800000000023</v>
      </c>
    </row>
    <row r="3153" spans="2:14" ht="16.5">
      <c r="B3153" s="660" t="s">
        <v>944</v>
      </c>
      <c r="C3153" s="19"/>
      <c r="D3153" s="19">
        <v>2.7</v>
      </c>
      <c r="E3153" s="236">
        <v>1.8</v>
      </c>
      <c r="F3153" s="48">
        <v>6</v>
      </c>
      <c r="G3153" s="57"/>
      <c r="H3153" s="21"/>
      <c r="I3153" s="55">
        <v>2</v>
      </c>
      <c r="J3153" s="46">
        <v>1.1000000000000001</v>
      </c>
      <c r="K3153" s="354">
        <v>2</v>
      </c>
      <c r="L3153" s="649">
        <f t="shared" si="208"/>
        <v>128.30400000000003</v>
      </c>
      <c r="M3153" s="58"/>
      <c r="N3153" s="365"/>
    </row>
    <row r="3154" spans="2:14" ht="16.5">
      <c r="B3154" s="814" t="s">
        <v>945</v>
      </c>
      <c r="C3154" s="19"/>
      <c r="D3154" s="19">
        <v>2.7</v>
      </c>
      <c r="E3154" s="236">
        <v>1.8</v>
      </c>
      <c r="F3154" s="48">
        <v>6</v>
      </c>
      <c r="G3154" s="57"/>
      <c r="H3154" s="21"/>
      <c r="I3154" s="55">
        <v>1</v>
      </c>
      <c r="J3154" s="46">
        <v>1.1000000000000001</v>
      </c>
      <c r="K3154" s="354">
        <v>2</v>
      </c>
      <c r="L3154" s="649">
        <f t="shared" si="208"/>
        <v>64.152000000000015</v>
      </c>
    </row>
    <row r="3155" spans="2:14" ht="16.5">
      <c r="B3155" s="814" t="s">
        <v>946</v>
      </c>
      <c r="C3155" s="19"/>
      <c r="D3155" s="19">
        <v>2.4</v>
      </c>
      <c r="E3155" s="236">
        <v>1.8</v>
      </c>
      <c r="F3155" s="48">
        <v>5.2</v>
      </c>
      <c r="G3155" s="57"/>
      <c r="H3155" s="21"/>
      <c r="I3155" s="55">
        <v>1</v>
      </c>
      <c r="J3155" s="46">
        <v>1.1000000000000001</v>
      </c>
      <c r="K3155" s="354">
        <v>2</v>
      </c>
      <c r="L3155" s="649">
        <f t="shared" si="208"/>
        <v>49.420800000000007</v>
      </c>
    </row>
    <row r="3156" spans="2:14" ht="16.5">
      <c r="B3156" s="814"/>
      <c r="C3156" s="19"/>
      <c r="D3156" s="19"/>
      <c r="E3156" s="236"/>
      <c r="F3156" s="48"/>
      <c r="G3156" s="57"/>
      <c r="H3156" s="21"/>
      <c r="I3156" s="55"/>
      <c r="J3156" s="46"/>
      <c r="K3156" s="354"/>
      <c r="L3156" s="649"/>
    </row>
    <row r="3157" spans="2:14" ht="16.5">
      <c r="B3157" s="799" t="s">
        <v>614</v>
      </c>
      <c r="C3157" s="19"/>
      <c r="D3157" s="19">
        <v>0.3</v>
      </c>
      <c r="E3157" s="48">
        <v>0.8</v>
      </c>
      <c r="F3157" s="47">
        <f>2.7+0.66</f>
        <v>3.3600000000000003</v>
      </c>
      <c r="G3157" s="57"/>
      <c r="H3157" s="21"/>
      <c r="I3157" s="55">
        <v>1</v>
      </c>
      <c r="J3157" s="46">
        <v>1.1000000000000001</v>
      </c>
      <c r="K3157" s="354">
        <v>2</v>
      </c>
      <c r="L3157" s="649">
        <f t="shared" si="208"/>
        <v>1.7740800000000001</v>
      </c>
    </row>
    <row r="3158" spans="2:14" ht="16.5">
      <c r="B3158" s="799" t="s">
        <v>615</v>
      </c>
      <c r="C3158" s="19"/>
      <c r="D3158" s="19">
        <v>0.3</v>
      </c>
      <c r="E3158" s="48">
        <v>0.8</v>
      </c>
      <c r="F3158" s="47">
        <v>1.66</v>
      </c>
      <c r="G3158" s="57"/>
      <c r="H3158" s="21"/>
      <c r="I3158" s="55">
        <v>1</v>
      </c>
      <c r="J3158" s="46">
        <v>1.1000000000000001</v>
      </c>
      <c r="K3158" s="354">
        <v>2</v>
      </c>
      <c r="L3158" s="649">
        <f t="shared" si="208"/>
        <v>0.87648000000000004</v>
      </c>
    </row>
    <row r="3159" spans="2:14" ht="16.5">
      <c r="B3159" s="799" t="s">
        <v>616</v>
      </c>
      <c r="C3159" s="19"/>
      <c r="D3159" s="19">
        <v>0.3</v>
      </c>
      <c r="E3159" s="48">
        <v>0.8</v>
      </c>
      <c r="F3159" s="47">
        <f>1.62+1.65</f>
        <v>3.27</v>
      </c>
      <c r="G3159" s="57"/>
      <c r="H3159" s="21"/>
      <c r="I3159" s="55">
        <v>3</v>
      </c>
      <c r="J3159" s="46">
        <v>1.1000000000000001</v>
      </c>
      <c r="K3159" s="354">
        <v>2</v>
      </c>
      <c r="L3159" s="649">
        <f t="shared" si="208"/>
        <v>5.1796800000000003</v>
      </c>
    </row>
    <row r="3160" spans="2:14" ht="16.5">
      <c r="B3160" s="799" t="s">
        <v>617</v>
      </c>
      <c r="C3160" s="19"/>
      <c r="D3160" s="19">
        <v>0.3</v>
      </c>
      <c r="E3160" s="48">
        <v>0.8</v>
      </c>
      <c r="F3160" s="47">
        <v>2.96</v>
      </c>
      <c r="G3160" s="57"/>
      <c r="H3160" s="21"/>
      <c r="I3160" s="55">
        <v>2</v>
      </c>
      <c r="J3160" s="46">
        <v>1.1000000000000001</v>
      </c>
      <c r="K3160" s="354">
        <v>2</v>
      </c>
      <c r="L3160" s="649">
        <f t="shared" si="208"/>
        <v>3.1257600000000001</v>
      </c>
    </row>
    <row r="3161" spans="2:14" ht="16.5">
      <c r="B3161" s="799" t="s">
        <v>618</v>
      </c>
      <c r="C3161" s="19"/>
      <c r="D3161" s="19">
        <v>0.3</v>
      </c>
      <c r="E3161" s="48">
        <v>0.8</v>
      </c>
      <c r="F3161" s="47">
        <f>3.69+3.39+3.52</f>
        <v>10.6</v>
      </c>
      <c r="G3161" s="57"/>
      <c r="H3161" s="21"/>
      <c r="I3161" s="55">
        <v>1</v>
      </c>
      <c r="J3161" s="46">
        <v>1.1000000000000001</v>
      </c>
      <c r="K3161" s="354">
        <v>2</v>
      </c>
      <c r="L3161" s="649">
        <f t="shared" si="208"/>
        <v>5.5968000000000009</v>
      </c>
    </row>
    <row r="3162" spans="2:14" ht="16.5">
      <c r="B3162" s="799" t="s">
        <v>619</v>
      </c>
      <c r="C3162" s="19"/>
      <c r="D3162" s="19">
        <v>0.3</v>
      </c>
      <c r="E3162" s="48">
        <v>0.8</v>
      </c>
      <c r="F3162" s="47">
        <v>5.15</v>
      </c>
      <c r="G3162" s="57"/>
      <c r="H3162" s="21"/>
      <c r="I3162" s="55">
        <v>1</v>
      </c>
      <c r="J3162" s="46">
        <v>1.1000000000000001</v>
      </c>
      <c r="K3162" s="354">
        <v>2</v>
      </c>
      <c r="L3162" s="649">
        <f t="shared" si="208"/>
        <v>2.7192000000000003</v>
      </c>
    </row>
    <row r="3163" spans="2:14" ht="16.5">
      <c r="B3163" s="799" t="s">
        <v>620</v>
      </c>
      <c r="C3163" s="19"/>
      <c r="D3163" s="19">
        <v>0.3</v>
      </c>
      <c r="E3163" s="48">
        <v>0.8</v>
      </c>
      <c r="F3163" s="47">
        <v>3.62</v>
      </c>
      <c r="G3163" s="57"/>
      <c r="H3163" s="21"/>
      <c r="I3163" s="55">
        <v>1</v>
      </c>
      <c r="J3163" s="46">
        <v>1.1000000000000001</v>
      </c>
      <c r="K3163" s="354">
        <v>2</v>
      </c>
      <c r="L3163" s="649">
        <f t="shared" si="208"/>
        <v>1.9113600000000002</v>
      </c>
    </row>
    <row r="3164" spans="2:14" ht="16.5">
      <c r="B3164" s="799" t="s">
        <v>621</v>
      </c>
      <c r="C3164" s="19"/>
      <c r="D3164" s="19">
        <v>0.3</v>
      </c>
      <c r="E3164" s="48">
        <v>0.8</v>
      </c>
      <c r="F3164" s="47">
        <f>3.64+3.49</f>
        <v>7.1300000000000008</v>
      </c>
      <c r="G3164" s="57"/>
      <c r="H3164" s="21"/>
      <c r="I3164" s="55">
        <v>1</v>
      </c>
      <c r="J3164" s="46">
        <v>1.1000000000000001</v>
      </c>
      <c r="K3164" s="354">
        <v>2</v>
      </c>
      <c r="L3164" s="649">
        <f t="shared" si="208"/>
        <v>3.7646400000000004</v>
      </c>
    </row>
    <row r="3165" spans="2:14" ht="16.5">
      <c r="B3165" s="734"/>
      <c r="C3165" s="19"/>
      <c r="D3165" s="19"/>
      <c r="E3165" s="48"/>
      <c r="F3165" s="47"/>
      <c r="G3165" s="57"/>
      <c r="H3165" s="21"/>
      <c r="I3165" s="55"/>
      <c r="J3165" s="46"/>
      <c r="K3165" s="5"/>
      <c r="L3165" s="649"/>
    </row>
    <row r="3166" spans="2:14" ht="16.5">
      <c r="B3166" s="658" t="s">
        <v>886</v>
      </c>
      <c r="C3166" s="19"/>
      <c r="D3166" s="19"/>
      <c r="E3166" s="48"/>
      <c r="F3166" s="47"/>
      <c r="G3166" s="57"/>
      <c r="H3166" s="21"/>
      <c r="I3166" s="55"/>
      <c r="J3166" s="46"/>
      <c r="K3166" s="5"/>
      <c r="L3166" s="649"/>
    </row>
    <row r="3167" spans="2:14" ht="16.5">
      <c r="B3167" s="813" t="s">
        <v>943</v>
      </c>
      <c r="C3167" s="19"/>
      <c r="D3167" s="19">
        <v>2.1</v>
      </c>
      <c r="E3167" s="236">
        <v>1.8</v>
      </c>
      <c r="F3167" s="48">
        <v>5.15</v>
      </c>
      <c r="G3167" s="57"/>
      <c r="H3167" s="21"/>
      <c r="I3167" s="55">
        <v>2</v>
      </c>
      <c r="J3167" s="46">
        <v>1.1000000000000001</v>
      </c>
      <c r="K3167" s="354">
        <v>2</v>
      </c>
      <c r="L3167" s="649">
        <f t="shared" si="208"/>
        <v>85.654800000000023</v>
      </c>
    </row>
    <row r="3168" spans="2:14" ht="16.5">
      <c r="B3168" s="660" t="s">
        <v>944</v>
      </c>
      <c r="C3168" s="19"/>
      <c r="D3168" s="19">
        <v>2.7</v>
      </c>
      <c r="E3168" s="236">
        <v>1.8</v>
      </c>
      <c r="F3168" s="48">
        <v>6</v>
      </c>
      <c r="G3168" s="57"/>
      <c r="H3168" s="21"/>
      <c r="I3168" s="55">
        <v>2</v>
      </c>
      <c r="J3168" s="46">
        <v>1.1000000000000001</v>
      </c>
      <c r="K3168" s="354">
        <v>2</v>
      </c>
      <c r="L3168" s="649">
        <f t="shared" si="208"/>
        <v>128.30400000000003</v>
      </c>
    </row>
    <row r="3169" spans="2:12" ht="16.5">
      <c r="B3169" s="814" t="s">
        <v>945</v>
      </c>
      <c r="C3169" s="19"/>
      <c r="D3169" s="19">
        <v>2.7</v>
      </c>
      <c r="E3169" s="236">
        <v>1.8</v>
      </c>
      <c r="F3169" s="48">
        <v>6</v>
      </c>
      <c r="G3169" s="57"/>
      <c r="H3169" s="21"/>
      <c r="I3169" s="55">
        <v>1</v>
      </c>
      <c r="J3169" s="46">
        <v>1.1000000000000001</v>
      </c>
      <c r="K3169" s="354">
        <v>2</v>
      </c>
      <c r="L3169" s="649">
        <f t="shared" si="208"/>
        <v>64.152000000000015</v>
      </c>
    </row>
    <row r="3170" spans="2:12" ht="16.5">
      <c r="B3170" s="814" t="s">
        <v>946</v>
      </c>
      <c r="C3170" s="19"/>
      <c r="D3170" s="19">
        <v>2.4</v>
      </c>
      <c r="E3170" s="236">
        <v>1.8</v>
      </c>
      <c r="F3170" s="48">
        <v>5.2</v>
      </c>
      <c r="G3170" s="57"/>
      <c r="H3170" s="21"/>
      <c r="I3170" s="55">
        <v>1</v>
      </c>
      <c r="J3170" s="46">
        <v>1.1000000000000001</v>
      </c>
      <c r="K3170" s="354">
        <v>2</v>
      </c>
      <c r="L3170" s="649">
        <f t="shared" si="208"/>
        <v>49.420800000000007</v>
      </c>
    </row>
    <row r="3171" spans="2:12" ht="16.5">
      <c r="B3171" s="814"/>
      <c r="C3171" s="19"/>
      <c r="D3171" s="19"/>
      <c r="E3171" s="236"/>
      <c r="F3171" s="48"/>
      <c r="G3171" s="57"/>
      <c r="H3171" s="21"/>
      <c r="I3171" s="55"/>
      <c r="J3171" s="46"/>
      <c r="K3171" s="354"/>
      <c r="L3171" s="649"/>
    </row>
    <row r="3172" spans="2:12" ht="16.5">
      <c r="B3172" s="662" t="s">
        <v>606</v>
      </c>
      <c r="C3172" s="19"/>
      <c r="D3172" s="19">
        <v>0.3</v>
      </c>
      <c r="E3172" s="48">
        <v>0.8</v>
      </c>
      <c r="F3172" s="47">
        <v>2.96</v>
      </c>
      <c r="G3172" s="57"/>
      <c r="H3172" s="21"/>
      <c r="I3172" s="55">
        <v>3</v>
      </c>
      <c r="J3172" s="46">
        <v>1.1000000000000001</v>
      </c>
      <c r="K3172" s="354">
        <v>2</v>
      </c>
      <c r="L3172" s="649">
        <f t="shared" si="208"/>
        <v>4.6886399999999995</v>
      </c>
    </row>
    <row r="3173" spans="2:12" ht="16.5">
      <c r="B3173" s="662" t="s">
        <v>607</v>
      </c>
      <c r="C3173" s="19"/>
      <c r="D3173" s="19">
        <v>0.3</v>
      </c>
      <c r="E3173" s="48">
        <v>0.8</v>
      </c>
      <c r="F3173" s="47">
        <v>3.56</v>
      </c>
      <c r="G3173" s="57"/>
      <c r="H3173" s="21"/>
      <c r="I3173" s="55">
        <v>1</v>
      </c>
      <c r="J3173" s="46">
        <v>1.1000000000000001</v>
      </c>
      <c r="K3173" s="354">
        <v>2</v>
      </c>
      <c r="L3173" s="649">
        <f t="shared" si="208"/>
        <v>1.87968</v>
      </c>
    </row>
    <row r="3174" spans="2:12" ht="16.5">
      <c r="B3174" s="662" t="s">
        <v>608</v>
      </c>
      <c r="C3174" s="19"/>
      <c r="D3174" s="19">
        <v>0.3</v>
      </c>
      <c r="E3174" s="48">
        <v>0.8</v>
      </c>
      <c r="F3174" s="47">
        <v>1.68</v>
      </c>
      <c r="G3174" s="57"/>
      <c r="H3174" s="21"/>
      <c r="I3174" s="55">
        <v>1</v>
      </c>
      <c r="J3174" s="46">
        <v>1.1000000000000001</v>
      </c>
      <c r="K3174" s="354">
        <v>2</v>
      </c>
      <c r="L3174" s="649">
        <f t="shared" si="208"/>
        <v>0.88703999999999994</v>
      </c>
    </row>
    <row r="3175" spans="2:12" ht="16.5">
      <c r="B3175" s="662" t="s">
        <v>609</v>
      </c>
      <c r="C3175" s="19"/>
      <c r="D3175" s="19">
        <v>0.3</v>
      </c>
      <c r="E3175" s="48">
        <v>0.8</v>
      </c>
      <c r="F3175" s="47">
        <f>0.66+2.96</f>
        <v>3.62</v>
      </c>
      <c r="G3175" s="57"/>
      <c r="H3175" s="21"/>
      <c r="I3175" s="55">
        <v>1</v>
      </c>
      <c r="J3175" s="46">
        <v>1.1000000000000001</v>
      </c>
      <c r="K3175" s="354">
        <v>2</v>
      </c>
      <c r="L3175" s="649">
        <f t="shared" si="208"/>
        <v>1.9113600000000002</v>
      </c>
    </row>
    <row r="3176" spans="2:12" ht="16.5">
      <c r="B3176" s="662" t="s">
        <v>610</v>
      </c>
      <c r="C3176" s="19"/>
      <c r="D3176" s="19">
        <v>0.3</v>
      </c>
      <c r="E3176" s="48">
        <v>0.8</v>
      </c>
      <c r="F3176" s="47">
        <f>3.99+3.76+3.16</f>
        <v>10.91</v>
      </c>
      <c r="G3176" s="57"/>
      <c r="H3176" s="21"/>
      <c r="I3176" s="55">
        <v>1</v>
      </c>
      <c r="J3176" s="46">
        <v>1.1000000000000001</v>
      </c>
      <c r="K3176" s="354">
        <v>2</v>
      </c>
      <c r="L3176" s="649">
        <f t="shared" si="208"/>
        <v>5.7604800000000003</v>
      </c>
    </row>
    <row r="3177" spans="2:12" ht="16.5">
      <c r="B3177" s="662" t="s">
        <v>611</v>
      </c>
      <c r="C3177" s="19"/>
      <c r="D3177" s="19">
        <v>0.3</v>
      </c>
      <c r="E3177" s="48">
        <v>0.8</v>
      </c>
      <c r="F3177" s="47">
        <f>3.74+1.12</f>
        <v>4.8600000000000003</v>
      </c>
      <c r="G3177" s="57"/>
      <c r="H3177" s="21"/>
      <c r="I3177" s="55">
        <v>1</v>
      </c>
      <c r="J3177" s="46">
        <v>1.1000000000000001</v>
      </c>
      <c r="K3177" s="354">
        <v>2</v>
      </c>
      <c r="L3177" s="649">
        <f t="shared" si="208"/>
        <v>2.5660800000000004</v>
      </c>
    </row>
    <row r="3178" spans="2:12" ht="16.5">
      <c r="B3178" s="662" t="s">
        <v>612</v>
      </c>
      <c r="C3178" s="19"/>
      <c r="D3178" s="19">
        <v>0.3</v>
      </c>
      <c r="E3178" s="48">
        <v>0.8</v>
      </c>
      <c r="F3178" s="47">
        <f>3.86+3.26</f>
        <v>7.1199999999999992</v>
      </c>
      <c r="G3178" s="57"/>
      <c r="H3178" s="21"/>
      <c r="I3178" s="55">
        <v>1</v>
      </c>
      <c r="J3178" s="46">
        <v>1.1000000000000001</v>
      </c>
      <c r="K3178" s="354">
        <v>2</v>
      </c>
      <c r="L3178" s="649">
        <f t="shared" si="208"/>
        <v>3.7593599999999996</v>
      </c>
    </row>
    <row r="3179" spans="2:12" ht="16.5">
      <c r="B3179" s="662" t="s">
        <v>613</v>
      </c>
      <c r="C3179" s="19"/>
      <c r="D3179" s="19">
        <v>0.3</v>
      </c>
      <c r="E3179" s="48">
        <v>0.8</v>
      </c>
      <c r="F3179" s="47">
        <v>3.74</v>
      </c>
      <c r="G3179" s="57"/>
      <c r="H3179" s="21"/>
      <c r="I3179" s="55">
        <v>1</v>
      </c>
      <c r="J3179" s="46">
        <v>1.1000000000000001</v>
      </c>
      <c r="K3179" s="354">
        <v>2</v>
      </c>
      <c r="L3179" s="649">
        <f t="shared" si="208"/>
        <v>1.9747200000000003</v>
      </c>
    </row>
    <row r="3180" spans="2:12" ht="16.5">
      <c r="B3180" s="658" t="s">
        <v>903</v>
      </c>
      <c r="C3180" s="19"/>
      <c r="D3180" s="19"/>
      <c r="E3180" s="48"/>
      <c r="F3180" s="47"/>
      <c r="G3180" s="57"/>
      <c r="H3180" s="21"/>
      <c r="I3180" s="55"/>
      <c r="J3180" s="46"/>
      <c r="K3180" s="5"/>
      <c r="L3180" s="649"/>
    </row>
    <row r="3181" spans="2:12" ht="16.5">
      <c r="B3181" s="813" t="s">
        <v>943</v>
      </c>
      <c r="C3181" s="19"/>
      <c r="D3181" s="19">
        <v>2.1</v>
      </c>
      <c r="E3181" s="236">
        <v>1.8</v>
      </c>
      <c r="F3181" s="48">
        <v>5.15</v>
      </c>
      <c r="G3181" s="57"/>
      <c r="H3181" s="21"/>
      <c r="I3181" s="55">
        <v>2</v>
      </c>
      <c r="J3181" s="46">
        <v>1.1000000000000001</v>
      </c>
      <c r="K3181" s="354">
        <v>4</v>
      </c>
      <c r="L3181" s="649">
        <f t="shared" ref="L3181:L3193" si="209">PRODUCT(C3181:K3181)</f>
        <v>171.30960000000005</v>
      </c>
    </row>
    <row r="3182" spans="2:12" ht="16.5">
      <c r="B3182" s="660" t="s">
        <v>944</v>
      </c>
      <c r="C3182" s="19"/>
      <c r="D3182" s="19">
        <v>2.7</v>
      </c>
      <c r="E3182" s="236">
        <v>1.8</v>
      </c>
      <c r="F3182" s="48">
        <v>6</v>
      </c>
      <c r="G3182" s="57"/>
      <c r="H3182" s="21"/>
      <c r="I3182" s="55">
        <v>2</v>
      </c>
      <c r="J3182" s="46">
        <v>1.1000000000000001</v>
      </c>
      <c r="K3182" s="354">
        <v>4</v>
      </c>
      <c r="L3182" s="649">
        <f t="shared" si="209"/>
        <v>256.60800000000006</v>
      </c>
    </row>
    <row r="3183" spans="2:12" ht="16.5">
      <c r="B3183" s="814" t="s">
        <v>945</v>
      </c>
      <c r="C3183" s="19"/>
      <c r="D3183" s="19">
        <v>2.7</v>
      </c>
      <c r="E3183" s="236">
        <v>1.8</v>
      </c>
      <c r="F3183" s="48">
        <v>6</v>
      </c>
      <c r="G3183" s="57"/>
      <c r="H3183" s="21"/>
      <c r="I3183" s="55">
        <v>1</v>
      </c>
      <c r="J3183" s="46">
        <v>1.1000000000000001</v>
      </c>
      <c r="K3183" s="354">
        <v>4</v>
      </c>
      <c r="L3183" s="649">
        <f t="shared" si="209"/>
        <v>128.30400000000003</v>
      </c>
    </row>
    <row r="3184" spans="2:12" ht="16.5">
      <c r="B3184" s="814" t="s">
        <v>946</v>
      </c>
      <c r="C3184" s="19"/>
      <c r="D3184" s="19">
        <v>2.4</v>
      </c>
      <c r="E3184" s="236">
        <v>1.8</v>
      </c>
      <c r="F3184" s="48">
        <v>5.2</v>
      </c>
      <c r="G3184" s="57"/>
      <c r="H3184" s="21"/>
      <c r="I3184" s="55">
        <v>1</v>
      </c>
      <c r="J3184" s="46">
        <v>1.1000000000000001</v>
      </c>
      <c r="K3184" s="354">
        <v>4</v>
      </c>
      <c r="L3184" s="649">
        <f t="shared" si="209"/>
        <v>98.841600000000014</v>
      </c>
    </row>
    <row r="3185" spans="2:12" ht="16.5">
      <c r="B3185" s="814"/>
      <c r="C3185" s="19"/>
      <c r="D3185" s="19"/>
      <c r="E3185" s="236"/>
      <c r="F3185" s="48"/>
      <c r="G3185" s="57"/>
      <c r="H3185" s="21"/>
      <c r="I3185" s="55"/>
      <c r="J3185" s="46"/>
      <c r="K3185" s="354"/>
      <c r="L3185" s="649"/>
    </row>
    <row r="3186" spans="2:12" ht="16.5">
      <c r="B3186" s="662" t="s">
        <v>606</v>
      </c>
      <c r="C3186" s="19"/>
      <c r="D3186" s="19">
        <v>0.3</v>
      </c>
      <c r="E3186" s="48">
        <v>0.8</v>
      </c>
      <c r="F3186" s="47">
        <v>2.96</v>
      </c>
      <c r="G3186" s="57"/>
      <c r="H3186" s="21"/>
      <c r="I3186" s="55">
        <v>3</v>
      </c>
      <c r="J3186" s="46">
        <v>1.1000000000000001</v>
      </c>
      <c r="K3186" s="354">
        <v>4</v>
      </c>
      <c r="L3186" s="649">
        <f t="shared" si="209"/>
        <v>9.3772799999999989</v>
      </c>
    </row>
    <row r="3187" spans="2:12" ht="16.5">
      <c r="B3187" s="662" t="s">
        <v>607</v>
      </c>
      <c r="C3187" s="19"/>
      <c r="D3187" s="19">
        <v>0.3</v>
      </c>
      <c r="E3187" s="48">
        <v>0.8</v>
      </c>
      <c r="F3187" s="47">
        <v>3.56</v>
      </c>
      <c r="G3187" s="57"/>
      <c r="H3187" s="21"/>
      <c r="I3187" s="55">
        <v>1</v>
      </c>
      <c r="J3187" s="46">
        <v>1.1000000000000001</v>
      </c>
      <c r="K3187" s="354">
        <v>4</v>
      </c>
      <c r="L3187" s="649">
        <f t="shared" si="209"/>
        <v>3.75936</v>
      </c>
    </row>
    <row r="3188" spans="2:12" ht="16.5">
      <c r="B3188" s="662" t="s">
        <v>608</v>
      </c>
      <c r="C3188" s="19"/>
      <c r="D3188" s="19">
        <v>0.3</v>
      </c>
      <c r="E3188" s="48">
        <v>0.8</v>
      </c>
      <c r="F3188" s="47">
        <v>1.68</v>
      </c>
      <c r="G3188" s="57"/>
      <c r="H3188" s="21"/>
      <c r="I3188" s="55">
        <v>1</v>
      </c>
      <c r="J3188" s="46">
        <v>1.1000000000000001</v>
      </c>
      <c r="K3188" s="354">
        <v>4</v>
      </c>
      <c r="L3188" s="649">
        <f t="shared" si="209"/>
        <v>1.7740799999999999</v>
      </c>
    </row>
    <row r="3189" spans="2:12" ht="16.5">
      <c r="B3189" s="662" t="s">
        <v>609</v>
      </c>
      <c r="C3189" s="19"/>
      <c r="D3189" s="19">
        <v>0.3</v>
      </c>
      <c r="E3189" s="48">
        <v>0.8</v>
      </c>
      <c r="F3189" s="47">
        <f>0.66+2.96</f>
        <v>3.62</v>
      </c>
      <c r="G3189" s="57"/>
      <c r="H3189" s="21"/>
      <c r="I3189" s="55">
        <v>1</v>
      </c>
      <c r="J3189" s="46">
        <v>1.1000000000000001</v>
      </c>
      <c r="K3189" s="354">
        <v>4</v>
      </c>
      <c r="L3189" s="649">
        <f t="shared" si="209"/>
        <v>3.8227200000000003</v>
      </c>
    </row>
    <row r="3190" spans="2:12" ht="16.5">
      <c r="B3190" s="662" t="s">
        <v>610</v>
      </c>
      <c r="C3190" s="19"/>
      <c r="D3190" s="19">
        <v>0.3</v>
      </c>
      <c r="E3190" s="48">
        <v>0.8</v>
      </c>
      <c r="F3190" s="47">
        <f>3.99+3.76+3.16</f>
        <v>10.91</v>
      </c>
      <c r="G3190" s="57"/>
      <c r="H3190" s="21"/>
      <c r="I3190" s="55">
        <v>1</v>
      </c>
      <c r="J3190" s="46">
        <v>1.1000000000000001</v>
      </c>
      <c r="K3190" s="354">
        <v>4</v>
      </c>
      <c r="L3190" s="649">
        <f t="shared" si="209"/>
        <v>11.520960000000001</v>
      </c>
    </row>
    <row r="3191" spans="2:12" ht="16.5">
      <c r="B3191" s="662" t="s">
        <v>611</v>
      </c>
      <c r="C3191" s="19"/>
      <c r="D3191" s="19">
        <v>0.3</v>
      </c>
      <c r="E3191" s="48">
        <v>0.8</v>
      </c>
      <c r="F3191" s="47">
        <f>3.74+1.12</f>
        <v>4.8600000000000003</v>
      </c>
      <c r="G3191" s="57"/>
      <c r="H3191" s="21"/>
      <c r="I3191" s="55">
        <v>1</v>
      </c>
      <c r="J3191" s="46">
        <v>1.1000000000000001</v>
      </c>
      <c r="K3191" s="354">
        <v>4</v>
      </c>
      <c r="L3191" s="649">
        <f t="shared" si="209"/>
        <v>5.1321600000000007</v>
      </c>
    </row>
    <row r="3192" spans="2:12" ht="16.5">
      <c r="B3192" s="662" t="s">
        <v>612</v>
      </c>
      <c r="C3192" s="19"/>
      <c r="D3192" s="19">
        <v>0.3</v>
      </c>
      <c r="E3192" s="48">
        <v>0.8</v>
      </c>
      <c r="F3192" s="47">
        <f>3.86+3.26</f>
        <v>7.1199999999999992</v>
      </c>
      <c r="G3192" s="57"/>
      <c r="H3192" s="21"/>
      <c r="I3192" s="55">
        <v>1</v>
      </c>
      <c r="J3192" s="46">
        <v>1.1000000000000001</v>
      </c>
      <c r="K3192" s="354">
        <v>4</v>
      </c>
      <c r="L3192" s="649">
        <f t="shared" si="209"/>
        <v>7.5187199999999992</v>
      </c>
    </row>
    <row r="3193" spans="2:12" ht="16.5">
      <c r="B3193" s="662" t="s">
        <v>613</v>
      </c>
      <c r="C3193" s="19"/>
      <c r="D3193" s="19">
        <v>0.3</v>
      </c>
      <c r="E3193" s="48">
        <v>0.8</v>
      </c>
      <c r="F3193" s="47">
        <v>3.74</v>
      </c>
      <c r="G3193" s="57"/>
      <c r="H3193" s="21"/>
      <c r="I3193" s="55">
        <v>1</v>
      </c>
      <c r="J3193" s="46">
        <v>1.1000000000000001</v>
      </c>
      <c r="K3193" s="354">
        <v>4</v>
      </c>
      <c r="L3193" s="649">
        <f t="shared" si="209"/>
        <v>3.9494400000000005</v>
      </c>
    </row>
    <row r="3194" spans="2:12" ht="16.5">
      <c r="B3194" s="646" t="s">
        <v>853</v>
      </c>
      <c r="C3194" s="19"/>
      <c r="D3194" s="19"/>
      <c r="E3194" s="48"/>
      <c r="F3194" s="47"/>
      <c r="G3194" s="57"/>
      <c r="H3194" s="21"/>
      <c r="I3194" s="55"/>
      <c r="J3194" s="46"/>
      <c r="K3194" s="5"/>
      <c r="L3194" s="649"/>
    </row>
    <row r="3195" spans="2:12" ht="16.5">
      <c r="B3195" s="814" t="s">
        <v>945</v>
      </c>
      <c r="C3195" s="19"/>
      <c r="D3195" s="19">
        <v>2.7</v>
      </c>
      <c r="E3195" s="236">
        <v>1.8</v>
      </c>
      <c r="F3195" s="48">
        <v>6</v>
      </c>
      <c r="G3195" s="57"/>
      <c r="H3195" s="21"/>
      <c r="I3195" s="55">
        <v>2</v>
      </c>
      <c r="J3195" s="46">
        <v>1.1000000000000001</v>
      </c>
      <c r="K3195" s="354">
        <v>2</v>
      </c>
      <c r="L3195" s="649">
        <f t="shared" ref="L3195:L3206" si="210">PRODUCT(C3195:K3195)</f>
        <v>128.30400000000003</v>
      </c>
    </row>
    <row r="3196" spans="2:12" ht="16.5">
      <c r="B3196" s="814" t="s">
        <v>946</v>
      </c>
      <c r="C3196" s="19"/>
      <c r="D3196" s="19">
        <v>2.4</v>
      </c>
      <c r="E3196" s="236">
        <v>1.8</v>
      </c>
      <c r="F3196" s="48">
        <v>5.2</v>
      </c>
      <c r="G3196" s="57"/>
      <c r="H3196" s="21"/>
      <c r="I3196" s="55">
        <v>1</v>
      </c>
      <c r="J3196" s="46">
        <v>1.1000000000000001</v>
      </c>
      <c r="K3196" s="354">
        <v>2</v>
      </c>
      <c r="L3196" s="649">
        <f t="shared" si="210"/>
        <v>49.420800000000007</v>
      </c>
    </row>
    <row r="3197" spans="2:12" ht="16.5">
      <c r="B3197" s="814"/>
      <c r="C3197" s="19"/>
      <c r="D3197" s="19"/>
      <c r="E3197" s="236"/>
      <c r="F3197" s="48"/>
      <c r="G3197" s="57"/>
      <c r="H3197" s="21"/>
      <c r="I3197" s="55"/>
      <c r="J3197" s="46"/>
      <c r="K3197" s="354"/>
      <c r="L3197" s="649"/>
    </row>
    <row r="3198" spans="2:12" ht="16.5">
      <c r="B3198" s="814"/>
      <c r="C3198" s="19"/>
      <c r="D3198" s="19"/>
      <c r="E3198" s="236"/>
      <c r="F3198" s="48"/>
      <c r="G3198" s="57"/>
      <c r="H3198" s="21"/>
      <c r="I3198" s="55"/>
      <c r="J3198" s="46"/>
      <c r="K3198" s="354"/>
      <c r="L3198" s="649"/>
    </row>
    <row r="3199" spans="2:12" ht="16.5">
      <c r="B3199" s="662" t="s">
        <v>606</v>
      </c>
      <c r="C3199" s="19"/>
      <c r="D3199" s="19">
        <v>0.3</v>
      </c>
      <c r="E3199" s="48">
        <v>0.8</v>
      </c>
      <c r="F3199" s="47">
        <v>2.96</v>
      </c>
      <c r="G3199" s="57"/>
      <c r="H3199" s="21"/>
      <c r="I3199" s="55">
        <v>2</v>
      </c>
      <c r="J3199" s="46">
        <v>1.1000000000000001</v>
      </c>
      <c r="K3199" s="354">
        <v>2</v>
      </c>
      <c r="L3199" s="649">
        <f t="shared" si="210"/>
        <v>3.1257600000000001</v>
      </c>
    </row>
    <row r="3200" spans="2:12" ht="16.5">
      <c r="B3200" s="662" t="s">
        <v>607</v>
      </c>
      <c r="C3200" s="19"/>
      <c r="D3200" s="19">
        <v>0.3</v>
      </c>
      <c r="E3200" s="48">
        <v>0.8</v>
      </c>
      <c r="F3200" s="47">
        <v>3.56</v>
      </c>
      <c r="G3200" s="57"/>
      <c r="H3200" s="21"/>
      <c r="I3200" s="55">
        <v>1</v>
      </c>
      <c r="J3200" s="46">
        <v>1.1000000000000001</v>
      </c>
      <c r="K3200" s="354">
        <v>2</v>
      </c>
      <c r="L3200" s="649">
        <f t="shared" si="210"/>
        <v>1.87968</v>
      </c>
    </row>
    <row r="3201" spans="2:12" ht="16.5">
      <c r="B3201" s="662" t="s">
        <v>608</v>
      </c>
      <c r="C3201" s="19"/>
      <c r="D3201" s="19">
        <v>0.3</v>
      </c>
      <c r="E3201" s="48">
        <v>0.8</v>
      </c>
      <c r="F3201" s="47">
        <v>1.68</v>
      </c>
      <c r="G3201" s="57"/>
      <c r="H3201" s="21"/>
      <c r="I3201" s="55">
        <v>1</v>
      </c>
      <c r="J3201" s="46">
        <v>1.1000000000000001</v>
      </c>
      <c r="K3201" s="354">
        <v>2</v>
      </c>
      <c r="L3201" s="649">
        <f t="shared" si="210"/>
        <v>0.88703999999999994</v>
      </c>
    </row>
    <row r="3202" spans="2:12" ht="16.5">
      <c r="B3202" s="662" t="s">
        <v>609</v>
      </c>
      <c r="C3202" s="19"/>
      <c r="D3202" s="19">
        <v>0.3</v>
      </c>
      <c r="E3202" s="48">
        <v>0.8</v>
      </c>
      <c r="F3202" s="47">
        <f>0.66+2.96</f>
        <v>3.62</v>
      </c>
      <c r="G3202" s="57"/>
      <c r="H3202" s="21"/>
      <c r="I3202" s="55">
        <v>1</v>
      </c>
      <c r="J3202" s="46">
        <v>1.1000000000000001</v>
      </c>
      <c r="K3202" s="354">
        <v>2</v>
      </c>
      <c r="L3202" s="649">
        <f t="shared" si="210"/>
        <v>1.9113600000000002</v>
      </c>
    </row>
    <row r="3203" spans="2:12" ht="16.5">
      <c r="B3203" s="662" t="s">
        <v>610</v>
      </c>
      <c r="C3203" s="19"/>
      <c r="D3203" s="19">
        <v>0.3</v>
      </c>
      <c r="E3203" s="48">
        <v>0.8</v>
      </c>
      <c r="F3203" s="47">
        <f>3.99+3.76</f>
        <v>7.75</v>
      </c>
      <c r="G3203" s="57"/>
      <c r="H3203" s="21"/>
      <c r="I3203" s="55">
        <v>1</v>
      </c>
      <c r="J3203" s="46">
        <v>1.1000000000000001</v>
      </c>
      <c r="K3203" s="354">
        <v>2</v>
      </c>
      <c r="L3203" s="649">
        <f t="shared" si="210"/>
        <v>4.0919999999999996</v>
      </c>
    </row>
    <row r="3204" spans="2:12" ht="16.5">
      <c r="B3204" s="662" t="s">
        <v>611</v>
      </c>
      <c r="C3204" s="19"/>
      <c r="D3204" s="19">
        <v>0.3</v>
      </c>
      <c r="E3204" s="48">
        <v>0.8</v>
      </c>
      <c r="F3204" s="47">
        <f>3.74+1.12</f>
        <v>4.8600000000000003</v>
      </c>
      <c r="G3204" s="57"/>
      <c r="H3204" s="21"/>
      <c r="I3204" s="55">
        <v>1</v>
      </c>
      <c r="J3204" s="46">
        <v>1.1000000000000001</v>
      </c>
      <c r="K3204" s="354">
        <v>2</v>
      </c>
      <c r="L3204" s="649">
        <f t="shared" si="210"/>
        <v>2.5660800000000004</v>
      </c>
    </row>
    <row r="3205" spans="2:12" ht="16.5">
      <c r="B3205" s="662" t="s">
        <v>612</v>
      </c>
      <c r="C3205" s="19"/>
      <c r="D3205" s="19">
        <v>0.3</v>
      </c>
      <c r="E3205" s="48">
        <v>0.8</v>
      </c>
      <c r="F3205" s="47">
        <f>3.86</f>
        <v>3.86</v>
      </c>
      <c r="G3205" s="57"/>
      <c r="H3205" s="21"/>
      <c r="I3205" s="55">
        <v>1</v>
      </c>
      <c r="J3205" s="46">
        <v>1.1000000000000001</v>
      </c>
      <c r="K3205" s="354">
        <v>2</v>
      </c>
      <c r="L3205" s="649">
        <f t="shared" si="210"/>
        <v>2.0380799999999999</v>
      </c>
    </row>
    <row r="3206" spans="2:12" ht="16.5">
      <c r="B3206" s="662" t="s">
        <v>613</v>
      </c>
      <c r="C3206" s="19"/>
      <c r="D3206" s="19">
        <v>0.3</v>
      </c>
      <c r="E3206" s="48">
        <v>0.8</v>
      </c>
      <c r="F3206" s="47">
        <v>3.74</v>
      </c>
      <c r="G3206" s="57"/>
      <c r="H3206" s="21"/>
      <c r="I3206" s="55">
        <v>1</v>
      </c>
      <c r="J3206" s="46">
        <v>1.1000000000000001</v>
      </c>
      <c r="K3206" s="354">
        <v>2</v>
      </c>
      <c r="L3206" s="649">
        <f t="shared" si="210"/>
        <v>1.9747200000000003</v>
      </c>
    </row>
    <row r="3207" spans="2:12" ht="15.75">
      <c r="B3207" s="690"/>
      <c r="C3207" s="19"/>
      <c r="D3207" s="19"/>
      <c r="E3207" s="48"/>
      <c r="F3207" s="47"/>
      <c r="G3207" s="57"/>
      <c r="H3207" s="21"/>
      <c r="I3207" s="55"/>
      <c r="J3207" s="56"/>
      <c r="K3207" s="354"/>
      <c r="L3207" s="649"/>
    </row>
    <row r="3208" spans="2:12" ht="15.75">
      <c r="B3208" s="690"/>
      <c r="C3208" s="19"/>
      <c r="D3208" s="19"/>
      <c r="E3208" s="48"/>
      <c r="F3208" s="47"/>
      <c r="G3208" s="57"/>
      <c r="H3208" s="21"/>
      <c r="I3208" s="55"/>
      <c r="J3208" s="56"/>
      <c r="K3208" s="354"/>
      <c r="L3208" s="649"/>
    </row>
    <row r="3209" spans="2:12" ht="15.75">
      <c r="B3209" s="815" t="s">
        <v>895</v>
      </c>
      <c r="C3209" s="19"/>
      <c r="D3209" s="19"/>
      <c r="E3209" s="48"/>
      <c r="F3209" s="47"/>
      <c r="G3209" s="57"/>
      <c r="H3209" s="21"/>
      <c r="I3209" s="55"/>
      <c r="J3209" s="56"/>
      <c r="K3209" s="354"/>
      <c r="L3209" s="649"/>
    </row>
    <row r="3210" spans="2:12" ht="16.5">
      <c r="B3210" s="799" t="s">
        <v>606</v>
      </c>
      <c r="C3210" s="19"/>
      <c r="D3210" s="20">
        <v>0.6</v>
      </c>
      <c r="E3210" s="48">
        <v>1.5</v>
      </c>
      <c r="F3210" s="47">
        <v>18.73</v>
      </c>
      <c r="G3210" s="57"/>
      <c r="H3210" s="21"/>
      <c r="I3210" s="55">
        <v>4</v>
      </c>
      <c r="J3210" s="56">
        <v>1.1000000000000001</v>
      </c>
      <c r="K3210" s="354">
        <v>2</v>
      </c>
      <c r="L3210" s="649">
        <f t="shared" ref="L3210:L3222" si="211">PRODUCT(C3210:K3210)</f>
        <v>148.3416</v>
      </c>
    </row>
    <row r="3211" spans="2:12" ht="16.5">
      <c r="B3211" s="799" t="s">
        <v>607</v>
      </c>
      <c r="C3211" s="19"/>
      <c r="D3211" s="20">
        <v>0.6</v>
      </c>
      <c r="E3211" s="48">
        <v>1.5</v>
      </c>
      <c r="F3211" s="47">
        <v>4.05</v>
      </c>
      <c r="G3211" s="57"/>
      <c r="H3211" s="21"/>
      <c r="I3211" s="55">
        <v>6</v>
      </c>
      <c r="J3211" s="56">
        <v>1.1000000000000001</v>
      </c>
      <c r="K3211" s="354">
        <v>2</v>
      </c>
      <c r="L3211" s="649">
        <f t="shared" si="211"/>
        <v>48.113999999999997</v>
      </c>
    </row>
    <row r="3212" spans="2:12" ht="16.5">
      <c r="B3212" s="799" t="s">
        <v>608</v>
      </c>
      <c r="C3212" s="19"/>
      <c r="D3212" s="20">
        <v>0.6</v>
      </c>
      <c r="E3212" s="48">
        <v>1.5</v>
      </c>
      <c r="F3212" s="47">
        <v>3.65</v>
      </c>
      <c r="G3212" s="57"/>
      <c r="H3212" s="21"/>
      <c r="I3212" s="55">
        <v>17</v>
      </c>
      <c r="J3212" s="56">
        <v>1.1000000000000001</v>
      </c>
      <c r="K3212" s="354">
        <v>2</v>
      </c>
      <c r="L3212" s="649">
        <f t="shared" si="211"/>
        <v>122.85899999999999</v>
      </c>
    </row>
    <row r="3213" spans="2:12" ht="16.5">
      <c r="B3213" s="799" t="s">
        <v>609</v>
      </c>
      <c r="C3213" s="19"/>
      <c r="D3213" s="20">
        <v>0.6</v>
      </c>
      <c r="E3213" s="48">
        <v>1.5</v>
      </c>
      <c r="F3213" s="47">
        <v>14.3</v>
      </c>
      <c r="G3213" s="57"/>
      <c r="H3213" s="21"/>
      <c r="I3213" s="55">
        <f>2+2</f>
        <v>4</v>
      </c>
      <c r="J3213" s="56">
        <v>1.1000000000000001</v>
      </c>
      <c r="K3213" s="354">
        <v>2</v>
      </c>
      <c r="L3213" s="649">
        <f t="shared" si="211"/>
        <v>113.256</v>
      </c>
    </row>
    <row r="3214" spans="2:12" ht="16.5">
      <c r="B3214" s="799" t="s">
        <v>610</v>
      </c>
      <c r="C3214" s="19"/>
      <c r="D3214" s="20">
        <v>0.6</v>
      </c>
      <c r="E3214" s="48">
        <v>1.5</v>
      </c>
      <c r="F3214" s="47">
        <v>4.34</v>
      </c>
      <c r="G3214" s="57"/>
      <c r="H3214" s="21"/>
      <c r="I3214" s="55">
        <v>2</v>
      </c>
      <c r="J3214" s="56">
        <v>1.1000000000000001</v>
      </c>
      <c r="K3214" s="354">
        <v>2</v>
      </c>
      <c r="L3214" s="649">
        <f t="shared" si="211"/>
        <v>17.186399999999999</v>
      </c>
    </row>
    <row r="3215" spans="2:12" ht="16.5">
      <c r="B3215" s="799" t="s">
        <v>611</v>
      </c>
      <c r="C3215" s="19"/>
      <c r="D3215" s="20">
        <v>0.6</v>
      </c>
      <c r="E3215" s="48">
        <v>1.5</v>
      </c>
      <c r="F3215" s="47">
        <v>2.5299999999999998</v>
      </c>
      <c r="G3215" s="57"/>
      <c r="H3215" s="21"/>
      <c r="I3215" s="55">
        <v>1</v>
      </c>
      <c r="J3215" s="56">
        <v>1.1000000000000001</v>
      </c>
      <c r="K3215" s="354">
        <v>2</v>
      </c>
      <c r="L3215" s="649">
        <f t="shared" si="211"/>
        <v>5.0093999999999994</v>
      </c>
    </row>
    <row r="3216" spans="2:12" ht="16.5">
      <c r="B3216" s="799" t="s">
        <v>612</v>
      </c>
      <c r="C3216" s="19"/>
      <c r="D3216" s="20">
        <v>0.6</v>
      </c>
      <c r="E3216" s="48">
        <v>1.5</v>
      </c>
      <c r="F3216" s="47">
        <v>1.5</v>
      </c>
      <c r="G3216" s="57"/>
      <c r="H3216" s="21"/>
      <c r="I3216" s="55">
        <v>3</v>
      </c>
      <c r="J3216" s="56">
        <v>1.1000000000000001</v>
      </c>
      <c r="K3216" s="354">
        <v>2</v>
      </c>
      <c r="L3216" s="649">
        <f t="shared" si="211"/>
        <v>8.91</v>
      </c>
    </row>
    <row r="3217" spans="2:12" ht="16.5">
      <c r="B3217" s="799" t="s">
        <v>613</v>
      </c>
      <c r="C3217" s="19"/>
      <c r="D3217" s="20">
        <v>0.6</v>
      </c>
      <c r="E3217" s="48">
        <v>1.5</v>
      </c>
      <c r="F3217" s="47">
        <v>7.42</v>
      </c>
      <c r="G3217" s="57"/>
      <c r="H3217" s="21"/>
      <c r="I3217" s="55">
        <v>2</v>
      </c>
      <c r="J3217" s="56">
        <v>1.1000000000000001</v>
      </c>
      <c r="K3217" s="354">
        <v>2</v>
      </c>
      <c r="L3217" s="649">
        <f t="shared" si="211"/>
        <v>29.383199999999999</v>
      </c>
    </row>
    <row r="3218" spans="2:12" ht="16.5">
      <c r="B3218" s="799" t="s">
        <v>614</v>
      </c>
      <c r="C3218" s="19"/>
      <c r="D3218" s="20">
        <v>0.6</v>
      </c>
      <c r="E3218" s="48">
        <v>1.5</v>
      </c>
      <c r="F3218" s="47">
        <v>14.5</v>
      </c>
      <c r="G3218" s="57"/>
      <c r="H3218" s="21"/>
      <c r="I3218" s="55">
        <v>1</v>
      </c>
      <c r="J3218" s="56">
        <v>1.1000000000000001</v>
      </c>
      <c r="K3218" s="354">
        <v>2</v>
      </c>
      <c r="L3218" s="649">
        <f t="shared" si="211"/>
        <v>28.71</v>
      </c>
    </row>
    <row r="3219" spans="2:12" ht="16.5">
      <c r="B3219" s="799" t="s">
        <v>615</v>
      </c>
      <c r="C3219" s="19"/>
      <c r="D3219" s="20">
        <v>0.6</v>
      </c>
      <c r="E3219" s="48">
        <v>1.5</v>
      </c>
      <c r="F3219" s="47">
        <f>3.84+3.38</f>
        <v>7.22</v>
      </c>
      <c r="G3219" s="57"/>
      <c r="H3219" s="21"/>
      <c r="I3219" s="55">
        <v>2</v>
      </c>
      <c r="J3219" s="56">
        <v>1.1000000000000001</v>
      </c>
      <c r="K3219" s="354">
        <v>2</v>
      </c>
      <c r="L3219" s="649">
        <f t="shared" si="211"/>
        <v>28.591200000000001</v>
      </c>
    </row>
    <row r="3220" spans="2:12" ht="16.5">
      <c r="B3220" s="799" t="s">
        <v>616</v>
      </c>
      <c r="C3220" s="19"/>
      <c r="D3220" s="20">
        <v>0.6</v>
      </c>
      <c r="E3220" s="48">
        <v>1.5</v>
      </c>
      <c r="F3220" s="47">
        <v>10.62</v>
      </c>
      <c r="G3220" s="57"/>
      <c r="H3220" s="21"/>
      <c r="I3220" s="55">
        <v>2</v>
      </c>
      <c r="J3220" s="56">
        <v>1.1000000000000001</v>
      </c>
      <c r="K3220" s="354">
        <v>2</v>
      </c>
      <c r="L3220" s="649">
        <f t="shared" si="211"/>
        <v>42.055199999999992</v>
      </c>
    </row>
    <row r="3221" spans="2:12" ht="16.5">
      <c r="B3221" s="799" t="s">
        <v>617</v>
      </c>
      <c r="C3221" s="19"/>
      <c r="D3221" s="20">
        <v>0.6</v>
      </c>
      <c r="E3221" s="48">
        <v>1.5</v>
      </c>
      <c r="F3221" s="47">
        <v>2.5499999999999998</v>
      </c>
      <c r="G3221" s="57"/>
      <c r="H3221" s="21"/>
      <c r="I3221" s="55">
        <v>1</v>
      </c>
      <c r="J3221" s="56">
        <v>1.1000000000000001</v>
      </c>
      <c r="K3221" s="354">
        <v>2</v>
      </c>
      <c r="L3221" s="649">
        <f t="shared" si="211"/>
        <v>5.0489999999999995</v>
      </c>
    </row>
    <row r="3222" spans="2:12" ht="16.5">
      <c r="B3222" s="799" t="s">
        <v>618</v>
      </c>
      <c r="C3222" s="19"/>
      <c r="D3222" s="20">
        <v>0.6</v>
      </c>
      <c r="E3222" s="48">
        <v>1.5</v>
      </c>
      <c r="F3222" s="47">
        <v>3.74</v>
      </c>
      <c r="G3222" s="39"/>
      <c r="H3222" s="39"/>
      <c r="I3222" s="137">
        <v>1</v>
      </c>
      <c r="J3222" s="56">
        <v>1.1000000000000001</v>
      </c>
      <c r="K3222" s="354">
        <v>2</v>
      </c>
      <c r="L3222" s="649">
        <f t="shared" si="211"/>
        <v>7.4051999999999998</v>
      </c>
    </row>
    <row r="3223" spans="2:12" ht="16.5">
      <c r="B3223" s="799"/>
      <c r="C3223" s="19"/>
      <c r="D3223" s="20"/>
      <c r="E3223" s="48"/>
      <c r="F3223" s="47"/>
      <c r="G3223" s="39"/>
      <c r="H3223" s="39"/>
      <c r="I3223" s="137"/>
      <c r="J3223" s="56"/>
      <c r="K3223" s="5"/>
      <c r="L3223" s="649"/>
    </row>
    <row r="3224" spans="2:12">
      <c r="B3224" s="655"/>
      <c r="C3224" s="39"/>
      <c r="D3224" s="39"/>
      <c r="E3224" s="39"/>
      <c r="F3224" s="39"/>
      <c r="G3224" s="39"/>
      <c r="H3224" s="39"/>
      <c r="I3224" s="39"/>
      <c r="J3224" s="39"/>
      <c r="K3224" s="39"/>
      <c r="L3224" s="738"/>
    </row>
    <row r="3225" spans="2:12">
      <c r="B3225" s="737" t="s">
        <v>980</v>
      </c>
      <c r="C3225" s="39"/>
      <c r="D3225" s="39"/>
      <c r="E3225" s="39"/>
      <c r="F3225" s="39"/>
      <c r="G3225" s="39"/>
      <c r="H3225" s="39"/>
      <c r="I3225" s="39"/>
      <c r="J3225" s="39"/>
      <c r="K3225" s="39"/>
      <c r="L3225" s="738"/>
    </row>
    <row r="3226" spans="2:12" ht="15">
      <c r="B3226" s="662" t="s">
        <v>599</v>
      </c>
      <c r="C3226" s="269"/>
      <c r="D3226" s="19">
        <v>1</v>
      </c>
      <c r="E3226" s="19">
        <v>1.8</v>
      </c>
      <c r="F3226" s="19">
        <v>1</v>
      </c>
      <c r="G3226" s="270"/>
      <c r="H3226" s="271"/>
      <c r="I3226" s="56">
        <v>4</v>
      </c>
      <c r="J3226" s="56">
        <v>4</v>
      </c>
      <c r="K3226" s="17"/>
      <c r="L3226" s="649">
        <f>D3226*E3226*F3226*I3226*J3226</f>
        <v>28.8</v>
      </c>
    </row>
    <row r="3227" spans="2:12" ht="15">
      <c r="B3227" s="662" t="s">
        <v>666</v>
      </c>
      <c r="C3227" s="269"/>
      <c r="D3227" s="19">
        <v>0.25</v>
      </c>
      <c r="E3227" s="19">
        <v>0.8</v>
      </c>
      <c r="F3227" s="19">
        <v>4.5</v>
      </c>
      <c r="G3227" s="270"/>
      <c r="H3227" s="271"/>
      <c r="I3227" s="56">
        <v>2</v>
      </c>
      <c r="J3227" s="56">
        <v>3.5</v>
      </c>
      <c r="K3227" s="17"/>
      <c r="L3227" s="649">
        <f t="shared" ref="L3227:L3228" si="212">D3227*E3227*F3227*I3227*J3227</f>
        <v>6.3</v>
      </c>
    </row>
    <row r="3228" spans="2:12" ht="15">
      <c r="B3228" s="662" t="s">
        <v>667</v>
      </c>
      <c r="C3228" s="269"/>
      <c r="D3228" s="19">
        <v>0.25</v>
      </c>
      <c r="E3228" s="19">
        <v>0.8</v>
      </c>
      <c r="F3228" s="19">
        <v>4.5</v>
      </c>
      <c r="G3228" s="270"/>
      <c r="H3228" s="271"/>
      <c r="I3228" s="56">
        <v>2</v>
      </c>
      <c r="J3228" s="56">
        <v>3.5</v>
      </c>
      <c r="K3228" s="17"/>
      <c r="L3228" s="649">
        <f t="shared" si="212"/>
        <v>6.3</v>
      </c>
    </row>
    <row r="3229" spans="2:12" ht="15">
      <c r="B3229" s="690"/>
      <c r="C3229" s="469"/>
      <c r="D3229" s="61"/>
      <c r="E3229" s="61"/>
      <c r="F3229" s="61"/>
      <c r="G3229" s="470"/>
      <c r="H3229" s="471"/>
      <c r="I3229" s="66"/>
      <c r="J3229" s="66"/>
      <c r="K3229" s="130"/>
      <c r="L3229" s="691"/>
    </row>
    <row r="3230" spans="2:12" ht="15.75">
      <c r="B3230" s="734" t="s">
        <v>496</v>
      </c>
      <c r="C3230" s="19"/>
      <c r="D3230" s="19">
        <v>3.5</v>
      </c>
      <c r="E3230" s="59">
        <v>2</v>
      </c>
      <c r="F3230" s="47">
        <v>150</v>
      </c>
      <c r="G3230" s="57"/>
      <c r="H3230" s="21"/>
      <c r="I3230" s="55"/>
      <c r="J3230" s="56"/>
      <c r="K3230" s="5"/>
      <c r="L3230" s="649">
        <f>PRODUCT(C3230:K3230)</f>
        <v>1050</v>
      </c>
    </row>
    <row r="3231" spans="2:12" ht="15.75">
      <c r="B3231" s="734" t="s">
        <v>497</v>
      </c>
      <c r="C3231" s="19">
        <v>6</v>
      </c>
      <c r="D3231" s="19"/>
      <c r="E3231" s="59"/>
      <c r="F3231" s="47">
        <v>173</v>
      </c>
      <c r="G3231" s="57"/>
      <c r="H3231" s="21"/>
      <c r="I3231" s="55"/>
      <c r="J3231" s="56"/>
      <c r="K3231" s="5"/>
      <c r="L3231" s="649">
        <f>PRODUCT(C3231:K3231)</f>
        <v>1038</v>
      </c>
    </row>
    <row r="3232" spans="2:12" ht="15.75">
      <c r="B3232" s="734"/>
      <c r="C3232" s="19"/>
      <c r="D3232" s="19"/>
      <c r="E3232" s="59"/>
      <c r="F3232" s="47"/>
      <c r="G3232" s="57"/>
      <c r="H3232" s="21"/>
      <c r="I3232" s="55"/>
      <c r="J3232" s="56"/>
      <c r="K3232" s="5"/>
      <c r="L3232" s="649"/>
    </row>
    <row r="3233" spans="2:12" ht="15.75">
      <c r="B3233" s="734" t="s">
        <v>481</v>
      </c>
      <c r="C3233" s="19"/>
      <c r="D3233" s="19">
        <v>6.5</v>
      </c>
      <c r="E3233" s="48">
        <v>1.8</v>
      </c>
      <c r="F3233" s="47">
        <v>12.45</v>
      </c>
      <c r="G3233" s="57"/>
      <c r="H3233" s="21"/>
      <c r="I3233" s="55"/>
      <c r="J3233" s="56"/>
      <c r="K3233" s="5"/>
      <c r="L3233" s="649">
        <f>PRODUCT(C3233:K3233)</f>
        <v>145.66499999999999</v>
      </c>
    </row>
    <row r="3234" spans="2:12" ht="16.5">
      <c r="B3234" s="816"/>
      <c r="C3234" s="61"/>
      <c r="D3234" s="202"/>
      <c r="E3234" s="59"/>
      <c r="F3234" s="65"/>
      <c r="G3234" s="62"/>
      <c r="H3234" s="62"/>
      <c r="I3234" s="368"/>
      <c r="J3234" s="66"/>
      <c r="K3234" s="52"/>
      <c r="L3234" s="691"/>
    </row>
    <row r="3235" spans="2:12" ht="16.5">
      <c r="B3235" s="799"/>
      <c r="C3235" s="19"/>
      <c r="D3235" s="19"/>
      <c r="E3235" s="48"/>
      <c r="F3235" s="47"/>
      <c r="G3235" s="39"/>
      <c r="H3235" s="39"/>
      <c r="I3235" s="137"/>
      <c r="J3235" s="56"/>
      <c r="K3235" s="5"/>
      <c r="L3235" s="649"/>
    </row>
    <row r="3236" spans="2:12">
      <c r="B3236" s="651"/>
      <c r="L3236" s="652"/>
    </row>
    <row r="3237" spans="2:12" ht="15.6" customHeight="1">
      <c r="B3237" s="638" t="s">
        <v>398</v>
      </c>
      <c r="C3237" s="8">
        <v>3</v>
      </c>
      <c r="D3237" s="1008" t="s">
        <v>1038</v>
      </c>
      <c r="E3237" s="1009"/>
      <c r="F3237" s="1009"/>
      <c r="G3237" s="1009"/>
      <c r="H3237" s="1009"/>
      <c r="I3237" s="1009"/>
      <c r="J3237" s="1009"/>
      <c r="K3237" s="1009"/>
      <c r="L3237" s="1010"/>
    </row>
    <row r="3238" spans="2:12" ht="15">
      <c r="B3238" s="1005"/>
      <c r="C3238" s="1006"/>
      <c r="D3238" s="1006"/>
      <c r="E3238" s="1006"/>
      <c r="F3238" s="1006"/>
      <c r="G3238" s="1006"/>
      <c r="H3238" s="1006"/>
      <c r="I3238" s="1006"/>
      <c r="J3238" s="1006"/>
      <c r="K3238" s="1006"/>
      <c r="L3238" s="1007"/>
    </row>
    <row r="3239" spans="2:12" ht="31.5">
      <c r="B3239" s="653" t="s">
        <v>399</v>
      </c>
      <c r="C3239" s="201">
        <f>+'PROPUESTA ECONOMICA(Proponente)'!C397</f>
        <v>3.2</v>
      </c>
      <c r="D3239" s="12" t="str">
        <f>+VLOOKUP('MEMORIAS DE CANTIDADES'!C3239,'PROPUESTA ECONOMICA(Proponente)'!$C$379:$H$661,5,FALSE)</f>
        <v>Concreto ciclópeo 3000 psi, relación 60%C/40%P.  (Incluye suministro y colocación).</v>
      </c>
      <c r="E3239" s="13"/>
      <c r="F3239" s="12"/>
      <c r="G3239" s="12"/>
      <c r="H3239" s="12"/>
      <c r="I3239" s="11" t="s">
        <v>400</v>
      </c>
      <c r="J3239" s="12" t="str">
        <f>+VLOOKUP('MEMORIAS DE CANTIDADES'!C3239,'PROPUESTA ECONOMICA(Proponente)'!$C$379:$H$661,6,FALSE)</f>
        <v>m3</v>
      </c>
      <c r="K3239" s="11" t="s">
        <v>401</v>
      </c>
      <c r="L3239" s="643">
        <f>SUM(L3242:L3306)</f>
        <v>2206.3610000000012</v>
      </c>
    </row>
    <row r="3240" spans="2:12" ht="15">
      <c r="B3240" s="644"/>
      <c r="C3240" s="16"/>
      <c r="D3240" s="15"/>
      <c r="E3240" s="15"/>
      <c r="F3240" s="15"/>
      <c r="G3240" s="15"/>
      <c r="H3240" s="15"/>
      <c r="I3240" s="15"/>
      <c r="J3240" s="15"/>
      <c r="K3240" s="17"/>
      <c r="L3240" s="645"/>
    </row>
    <row r="3241" spans="2:12" ht="47.25">
      <c r="B3241" s="646" t="s">
        <v>402</v>
      </c>
      <c r="C3241" s="18" t="s">
        <v>403</v>
      </c>
      <c r="D3241" s="18" t="s">
        <v>404</v>
      </c>
      <c r="E3241" s="18" t="s">
        <v>405</v>
      </c>
      <c r="F3241" s="18" t="s">
        <v>406</v>
      </c>
      <c r="G3241" s="18" t="s">
        <v>407</v>
      </c>
      <c r="H3241" s="5" t="s">
        <v>408</v>
      </c>
      <c r="I3241" s="18" t="s">
        <v>409</v>
      </c>
      <c r="J3241" s="5" t="s">
        <v>410</v>
      </c>
      <c r="K3241" s="5" t="s">
        <v>411</v>
      </c>
      <c r="L3241" s="647" t="s">
        <v>412</v>
      </c>
    </row>
    <row r="3242" spans="2:12" ht="16.5">
      <c r="B3242" s="658" t="s">
        <v>438</v>
      </c>
      <c r="C3242" s="18"/>
      <c r="D3242" s="18"/>
      <c r="E3242" s="18"/>
      <c r="G3242" s="18"/>
      <c r="H3242" s="5"/>
      <c r="I3242" s="41"/>
      <c r="J3242" s="46"/>
      <c r="K3242" s="5"/>
      <c r="L3242" s="649"/>
    </row>
    <row r="3243" spans="2:12" ht="16.5">
      <c r="B3243" s="708" t="s">
        <v>440</v>
      </c>
      <c r="C3243" s="48"/>
      <c r="D3243" s="48">
        <v>4.4000000000000004</v>
      </c>
      <c r="E3243" s="48">
        <v>0.25</v>
      </c>
      <c r="F3243" s="45">
        <v>7.5</v>
      </c>
      <c r="G3243" s="48"/>
      <c r="H3243" s="30"/>
      <c r="I3243" s="41">
        <v>6</v>
      </c>
      <c r="J3243" s="46"/>
      <c r="K3243" s="30"/>
      <c r="L3243" s="649">
        <f t="shared" ref="L3243:L3248" si="213">PRODUCT(C3243:K3243)</f>
        <v>49.5</v>
      </c>
    </row>
    <row r="3244" spans="2:12" ht="16.5">
      <c r="B3244" s="708" t="s">
        <v>441</v>
      </c>
      <c r="C3244" s="48"/>
      <c r="D3244" s="48">
        <v>2.5</v>
      </c>
      <c r="E3244" s="48">
        <v>0.25</v>
      </c>
      <c r="F3244" s="45">
        <v>6.65</v>
      </c>
      <c r="G3244" s="48"/>
      <c r="H3244" s="30"/>
      <c r="I3244" s="41">
        <v>2</v>
      </c>
      <c r="J3244" s="46"/>
      <c r="K3244" s="30"/>
      <c r="L3244" s="649">
        <f t="shared" si="213"/>
        <v>8.3125</v>
      </c>
    </row>
    <row r="3245" spans="2:12" ht="16.5">
      <c r="B3245" s="708"/>
      <c r="C3245" s="48"/>
      <c r="D3245" s="48"/>
      <c r="E3245" s="48"/>
      <c r="F3245" s="45"/>
      <c r="G3245" s="48"/>
      <c r="H3245" s="30"/>
      <c r="I3245" s="41"/>
      <c r="J3245" s="46"/>
      <c r="K3245" s="30"/>
      <c r="L3245" s="649"/>
    </row>
    <row r="3246" spans="2:12" ht="16.5">
      <c r="B3246" s="658" t="s">
        <v>464</v>
      </c>
      <c r="C3246" s="48"/>
      <c r="D3246" s="48"/>
      <c r="E3246" s="48"/>
      <c r="F3246" s="49"/>
      <c r="G3246" s="48"/>
      <c r="H3246" s="30"/>
      <c r="I3246" s="41"/>
      <c r="J3246" s="46"/>
      <c r="K3246" s="30"/>
      <c r="L3246" s="649"/>
    </row>
    <row r="3247" spans="2:12" ht="16.5">
      <c r="B3247" s="734" t="s">
        <v>465</v>
      </c>
      <c r="C3247" s="50"/>
      <c r="D3247" s="59">
        <v>4.4000000000000004</v>
      </c>
      <c r="E3247" s="59">
        <v>0.25</v>
      </c>
      <c r="F3247" s="51">
        <v>7.5</v>
      </c>
      <c r="G3247" s="50"/>
      <c r="H3247" s="52"/>
      <c r="I3247" s="53">
        <v>8</v>
      </c>
      <c r="J3247" s="54"/>
      <c r="K3247" s="52"/>
      <c r="L3247" s="649">
        <f t="shared" si="213"/>
        <v>66</v>
      </c>
    </row>
    <row r="3248" spans="2:12" ht="16.5">
      <c r="B3248" s="812" t="s">
        <v>466</v>
      </c>
      <c r="C3248" s="351"/>
      <c r="D3248" s="352">
        <v>2.5</v>
      </c>
      <c r="E3248" s="59">
        <v>0.25</v>
      </c>
      <c r="F3248" s="353">
        <v>6.65</v>
      </c>
      <c r="G3248" s="351"/>
      <c r="H3248" s="354"/>
      <c r="I3248" s="808">
        <v>4</v>
      </c>
      <c r="J3248" s="355"/>
      <c r="K3248" s="354"/>
      <c r="L3248" s="649">
        <f t="shared" si="213"/>
        <v>16.625</v>
      </c>
    </row>
    <row r="3249" spans="2:12" ht="15.75">
      <c r="B3249" s="740"/>
      <c r="C3249" s="18"/>
      <c r="D3249" s="18"/>
      <c r="E3249" s="59"/>
      <c r="F3249" s="45"/>
      <c r="G3249" s="18"/>
      <c r="H3249" s="5"/>
      <c r="I3249" s="55"/>
      <c r="J3249" s="56"/>
      <c r="K3249" s="5"/>
      <c r="L3249" s="649"/>
    </row>
    <row r="3250" spans="2:12" ht="15">
      <c r="B3250" s="734"/>
      <c r="C3250" s="19"/>
      <c r="D3250" s="19"/>
      <c r="E3250" s="59"/>
      <c r="F3250" s="47"/>
      <c r="G3250" s="57"/>
      <c r="H3250" s="21"/>
      <c r="I3250" s="55"/>
      <c r="J3250" s="56"/>
      <c r="K3250" s="17"/>
      <c r="L3250" s="649"/>
    </row>
    <row r="3251" spans="2:12" ht="15">
      <c r="B3251" s="734" t="s">
        <v>496</v>
      </c>
      <c r="C3251" s="19"/>
      <c r="D3251" s="19">
        <v>3.5</v>
      </c>
      <c r="E3251" s="59">
        <v>0.6</v>
      </c>
      <c r="F3251" s="47">
        <v>150</v>
      </c>
      <c r="G3251" s="57"/>
      <c r="H3251" s="21"/>
      <c r="I3251" s="55"/>
      <c r="J3251" s="56"/>
      <c r="K3251" s="17"/>
      <c r="L3251" s="649">
        <f>PRODUCT(C3251:K3251)</f>
        <v>315</v>
      </c>
    </row>
    <row r="3252" spans="2:12" ht="15">
      <c r="B3252" s="734" t="s">
        <v>497</v>
      </c>
      <c r="C3252" s="19"/>
      <c r="D3252" s="19">
        <v>10</v>
      </c>
      <c r="E3252" s="59">
        <v>0.8</v>
      </c>
      <c r="F3252" s="47">
        <v>173</v>
      </c>
      <c r="G3252" s="57"/>
      <c r="H3252" s="21"/>
      <c r="I3252" s="55"/>
      <c r="J3252" s="56"/>
      <c r="K3252" s="17"/>
      <c r="L3252" s="649">
        <f>PRODUCT(C3252:K3252)</f>
        <v>1384</v>
      </c>
    </row>
    <row r="3253" spans="2:12" ht="15">
      <c r="B3253" s="734"/>
      <c r="C3253" s="19"/>
      <c r="D3253" s="19"/>
      <c r="E3253" s="59"/>
      <c r="F3253" s="47"/>
      <c r="G3253" s="57"/>
      <c r="H3253" s="21"/>
      <c r="I3253" s="55"/>
      <c r="J3253" s="56"/>
      <c r="K3253" s="17"/>
      <c r="L3253" s="649"/>
    </row>
    <row r="3254" spans="2:12" ht="15">
      <c r="B3254" s="734" t="s">
        <v>481</v>
      </c>
      <c r="C3254" s="19"/>
      <c r="D3254" s="19">
        <v>5.5</v>
      </c>
      <c r="E3254" s="48">
        <v>0.3</v>
      </c>
      <c r="F3254" s="47">
        <v>11.45</v>
      </c>
      <c r="G3254" s="57"/>
      <c r="H3254" s="21"/>
      <c r="I3254" s="55"/>
      <c r="J3254" s="56"/>
      <c r="K3254" s="17"/>
      <c r="L3254" s="649">
        <f t="shared" ref="L3254" si="214">PRODUCT(C3254:K3254)</f>
        <v>18.892499999999998</v>
      </c>
    </row>
    <row r="3255" spans="2:12" ht="15">
      <c r="B3255" s="734"/>
      <c r="C3255" s="19"/>
      <c r="D3255" s="39"/>
      <c r="E3255" s="39"/>
      <c r="F3255" s="39"/>
      <c r="G3255" s="39"/>
      <c r="H3255" s="39"/>
      <c r="I3255" s="39"/>
      <c r="J3255" s="39"/>
      <c r="K3255" s="39"/>
      <c r="L3255" s="649"/>
    </row>
    <row r="3256" spans="2:12" ht="30">
      <c r="B3256" s="734" t="s">
        <v>499</v>
      </c>
      <c r="C3256" s="19"/>
      <c r="D3256" s="19">
        <v>0.5</v>
      </c>
      <c r="E3256" s="48">
        <v>0.2</v>
      </c>
      <c r="F3256" s="47">
        <v>717</v>
      </c>
      <c r="G3256" s="57"/>
      <c r="H3256" s="21"/>
      <c r="I3256" s="55"/>
      <c r="J3256" s="56"/>
      <c r="K3256" s="17"/>
      <c r="L3256" s="649">
        <f>PRODUCT(C3256:K3256)</f>
        <v>71.7</v>
      </c>
    </row>
    <row r="3257" spans="2:12" ht="15">
      <c r="B3257" s="734"/>
      <c r="C3257" s="19"/>
      <c r="D3257" s="19"/>
      <c r="E3257" s="59"/>
      <c r="F3257" s="47"/>
      <c r="G3257" s="57"/>
      <c r="H3257" s="21"/>
      <c r="I3257" s="55"/>
      <c r="J3257" s="56"/>
      <c r="K3257" s="17"/>
      <c r="L3257" s="649"/>
    </row>
    <row r="3258" spans="2:12" ht="15">
      <c r="B3258" s="734" t="s">
        <v>500</v>
      </c>
      <c r="C3258" s="19"/>
      <c r="D3258" s="19"/>
      <c r="E3258" s="59"/>
      <c r="F3258" s="47"/>
      <c r="G3258" s="57"/>
      <c r="H3258" s="21"/>
      <c r="I3258" s="55"/>
      <c r="J3258" s="56"/>
      <c r="K3258" s="17"/>
      <c r="L3258" s="649"/>
    </row>
    <row r="3259" spans="2:12" ht="15">
      <c r="B3259" s="734" t="s">
        <v>461</v>
      </c>
      <c r="C3259" s="19"/>
      <c r="D3259" s="19">
        <v>1.2</v>
      </c>
      <c r="E3259" s="59">
        <v>0.3</v>
      </c>
      <c r="F3259" s="39">
        <v>0.8</v>
      </c>
      <c r="G3259" s="57"/>
      <c r="H3259" s="21"/>
      <c r="I3259" s="47">
        <f>ROUND(240.6/3,0)</f>
        <v>80</v>
      </c>
      <c r="J3259" s="56"/>
      <c r="K3259" s="17"/>
      <c r="L3259" s="649">
        <f t="shared" ref="L3259:L3260" si="215">PRODUCT(C3259:K3259)</f>
        <v>23.04</v>
      </c>
    </row>
    <row r="3260" spans="2:12" ht="15">
      <c r="B3260" s="734" t="s">
        <v>462</v>
      </c>
      <c r="C3260" s="19"/>
      <c r="D3260" s="20">
        <v>1.2</v>
      </c>
      <c r="E3260" s="20">
        <v>0.3</v>
      </c>
      <c r="F3260" s="39">
        <v>0.8</v>
      </c>
      <c r="G3260" s="57"/>
      <c r="H3260" s="21"/>
      <c r="I3260" s="47">
        <f>ROUND(217.6/3,0)+1</f>
        <v>74</v>
      </c>
      <c r="J3260" s="56"/>
      <c r="K3260" s="17"/>
      <c r="L3260" s="649">
        <f t="shared" si="215"/>
        <v>21.311999999999998</v>
      </c>
    </row>
    <row r="3261" spans="2:12" ht="15">
      <c r="B3261" s="734"/>
      <c r="C3261" s="19"/>
      <c r="D3261" s="20"/>
      <c r="E3261" s="20"/>
      <c r="F3261" s="39"/>
      <c r="G3261" s="57"/>
      <c r="H3261" s="21"/>
      <c r="I3261" s="47"/>
      <c r="J3261" s="56"/>
      <c r="K3261" s="17"/>
      <c r="L3261" s="649"/>
    </row>
    <row r="3262" spans="2:12" ht="15.75">
      <c r="B3262" s="658" t="s">
        <v>889</v>
      </c>
      <c r="C3262" s="19"/>
      <c r="D3262" s="19"/>
      <c r="E3262" s="48"/>
      <c r="F3262" s="47"/>
      <c r="G3262" s="57"/>
      <c r="H3262" s="21"/>
      <c r="I3262" s="55"/>
      <c r="J3262" s="56"/>
      <c r="K3262" s="5"/>
      <c r="L3262" s="649"/>
    </row>
    <row r="3263" spans="2:12" ht="15.75">
      <c r="B3263" s="813" t="s">
        <v>599</v>
      </c>
      <c r="C3263" s="19"/>
      <c r="D3263" s="19">
        <v>1.4</v>
      </c>
      <c r="E3263" s="236">
        <v>0.25</v>
      </c>
      <c r="F3263" s="48">
        <v>1.4</v>
      </c>
      <c r="G3263" s="57"/>
      <c r="H3263" s="21"/>
      <c r="I3263" s="55">
        <v>2</v>
      </c>
      <c r="J3263" s="56"/>
      <c r="K3263" s="354">
        <v>2</v>
      </c>
      <c r="L3263" s="649">
        <f t="shared" ref="L3263:L3267" si="216">PRODUCT(C3263:K3263)</f>
        <v>1.9599999999999997</v>
      </c>
    </row>
    <row r="3264" spans="2:12" ht="15.75">
      <c r="B3264" s="660" t="s">
        <v>600</v>
      </c>
      <c r="C3264" s="19"/>
      <c r="D3264" s="19">
        <v>1.1000000000000001</v>
      </c>
      <c r="E3264" s="236">
        <v>0.25</v>
      </c>
      <c r="F3264" s="48">
        <v>1.4</v>
      </c>
      <c r="G3264" s="57"/>
      <c r="H3264" s="21"/>
      <c r="I3264" s="55">
        <v>2</v>
      </c>
      <c r="J3264" s="56"/>
      <c r="K3264" s="354">
        <v>2</v>
      </c>
      <c r="L3264" s="649">
        <f t="shared" si="216"/>
        <v>1.54</v>
      </c>
    </row>
    <row r="3265" spans="2:12" ht="15.75">
      <c r="B3265" s="814" t="s">
        <v>601</v>
      </c>
      <c r="C3265" s="19"/>
      <c r="D3265" s="19">
        <v>1.2</v>
      </c>
      <c r="E3265" s="236">
        <v>0.25</v>
      </c>
      <c r="F3265" s="48">
        <v>1.2</v>
      </c>
      <c r="G3265" s="57"/>
      <c r="H3265" s="21"/>
      <c r="I3265" s="55">
        <v>1</v>
      </c>
      <c r="J3265" s="56"/>
      <c r="K3265" s="354">
        <v>2</v>
      </c>
      <c r="L3265" s="649">
        <f t="shared" si="216"/>
        <v>0.72</v>
      </c>
    </row>
    <row r="3266" spans="2:12" ht="15.75">
      <c r="B3266" s="814" t="s">
        <v>715</v>
      </c>
      <c r="C3266" s="19"/>
      <c r="D3266" s="19">
        <v>1.2</v>
      </c>
      <c r="E3266" s="236">
        <v>0.25</v>
      </c>
      <c r="F3266" s="48">
        <v>1.7</v>
      </c>
      <c r="G3266" s="57"/>
      <c r="H3266" s="21"/>
      <c r="I3266" s="55">
        <v>1</v>
      </c>
      <c r="J3266" s="56"/>
      <c r="K3266" s="354">
        <v>2</v>
      </c>
      <c r="L3266" s="649">
        <f t="shared" si="216"/>
        <v>1.02</v>
      </c>
    </row>
    <row r="3267" spans="2:12" ht="15.75">
      <c r="B3267" s="814" t="s">
        <v>716</v>
      </c>
      <c r="C3267" s="19"/>
      <c r="D3267" s="19">
        <v>1.7</v>
      </c>
      <c r="E3267" s="236">
        <v>0.25</v>
      </c>
      <c r="F3267" s="48">
        <v>1.7</v>
      </c>
      <c r="G3267" s="57"/>
      <c r="H3267" s="21"/>
      <c r="I3267" s="55">
        <v>2</v>
      </c>
      <c r="J3267" s="56"/>
      <c r="K3267" s="354">
        <v>2</v>
      </c>
      <c r="L3267" s="649">
        <f t="shared" si="216"/>
        <v>2.8899999999999997</v>
      </c>
    </row>
    <row r="3268" spans="2:12" ht="15.75">
      <c r="B3268" s="658" t="s">
        <v>903</v>
      </c>
      <c r="C3268" s="19"/>
      <c r="D3268" s="19"/>
      <c r="E3268" s="48"/>
      <c r="F3268" s="47"/>
      <c r="G3268" s="57"/>
      <c r="H3268" s="21"/>
      <c r="I3268" s="55"/>
      <c r="J3268" s="56"/>
      <c r="K3268" s="5"/>
      <c r="L3268" s="649"/>
    </row>
    <row r="3269" spans="2:12" ht="15.75">
      <c r="B3269" s="813" t="s">
        <v>599</v>
      </c>
      <c r="C3269" s="19"/>
      <c r="D3269" s="19">
        <v>1.4</v>
      </c>
      <c r="E3269" s="236">
        <v>0.25</v>
      </c>
      <c r="F3269" s="48">
        <v>1.4</v>
      </c>
      <c r="G3269" s="57"/>
      <c r="H3269" s="21"/>
      <c r="I3269" s="55">
        <v>2</v>
      </c>
      <c r="J3269" s="56"/>
      <c r="K3269" s="354">
        <v>4</v>
      </c>
      <c r="L3269" s="649">
        <f t="shared" ref="L3269:L3273" si="217">PRODUCT(C3269:K3269)</f>
        <v>3.9199999999999995</v>
      </c>
    </row>
    <row r="3270" spans="2:12" ht="15.75">
      <c r="B3270" s="660" t="s">
        <v>600</v>
      </c>
      <c r="C3270" s="19"/>
      <c r="D3270" s="19">
        <v>1.1000000000000001</v>
      </c>
      <c r="E3270" s="236">
        <v>0.25</v>
      </c>
      <c r="F3270" s="48">
        <v>1.4</v>
      </c>
      <c r="G3270" s="57"/>
      <c r="H3270" s="21"/>
      <c r="I3270" s="55">
        <v>2</v>
      </c>
      <c r="J3270" s="56"/>
      <c r="K3270" s="354">
        <v>4</v>
      </c>
      <c r="L3270" s="649">
        <f t="shared" si="217"/>
        <v>3.08</v>
      </c>
    </row>
    <row r="3271" spans="2:12" ht="15.75">
      <c r="B3271" s="814" t="s">
        <v>601</v>
      </c>
      <c r="C3271" s="19"/>
      <c r="D3271" s="19">
        <v>1.2</v>
      </c>
      <c r="E3271" s="236">
        <v>0.25</v>
      </c>
      <c r="F3271" s="48">
        <v>1.2</v>
      </c>
      <c r="G3271" s="57"/>
      <c r="H3271" s="21"/>
      <c r="I3271" s="55">
        <v>1</v>
      </c>
      <c r="J3271" s="56"/>
      <c r="K3271" s="354">
        <v>4</v>
      </c>
      <c r="L3271" s="649">
        <f t="shared" si="217"/>
        <v>1.44</v>
      </c>
    </row>
    <row r="3272" spans="2:12" ht="15.75">
      <c r="B3272" s="814" t="s">
        <v>715</v>
      </c>
      <c r="C3272" s="19"/>
      <c r="D3272" s="19">
        <v>1.2</v>
      </c>
      <c r="E3272" s="236">
        <v>0.25</v>
      </c>
      <c r="F3272" s="48">
        <v>1.7</v>
      </c>
      <c r="G3272" s="57"/>
      <c r="H3272" s="21"/>
      <c r="I3272" s="55">
        <v>1</v>
      </c>
      <c r="J3272" s="56"/>
      <c r="K3272" s="354">
        <v>4</v>
      </c>
      <c r="L3272" s="649">
        <f t="shared" si="217"/>
        <v>2.04</v>
      </c>
    </row>
    <row r="3273" spans="2:12" ht="15.75">
      <c r="B3273" s="814" t="s">
        <v>716</v>
      </c>
      <c r="C3273" s="19"/>
      <c r="D3273" s="19">
        <v>1.7</v>
      </c>
      <c r="E3273" s="236">
        <v>0.25</v>
      </c>
      <c r="F3273" s="48">
        <v>1.7</v>
      </c>
      <c r="G3273" s="57"/>
      <c r="H3273" s="21"/>
      <c r="I3273" s="55">
        <v>2</v>
      </c>
      <c r="J3273" s="56"/>
      <c r="K3273" s="354">
        <v>4</v>
      </c>
      <c r="L3273" s="649">
        <f t="shared" si="217"/>
        <v>5.7799999999999994</v>
      </c>
    </row>
    <row r="3274" spans="2:12" ht="15.75">
      <c r="B3274" s="658" t="s">
        <v>905</v>
      </c>
      <c r="C3274" s="19"/>
      <c r="D3274" s="19"/>
      <c r="E3274" s="48"/>
      <c r="F3274" s="47"/>
      <c r="G3274" s="57"/>
      <c r="H3274" s="21"/>
      <c r="I3274" s="55"/>
      <c r="J3274" s="56"/>
      <c r="K3274" s="5"/>
      <c r="L3274" s="649"/>
    </row>
    <row r="3275" spans="2:12" ht="15.75">
      <c r="B3275" s="813" t="s">
        <v>599</v>
      </c>
      <c r="C3275" s="19"/>
      <c r="D3275" s="19">
        <v>1.4</v>
      </c>
      <c r="E3275" s="236">
        <v>0.25</v>
      </c>
      <c r="F3275" s="48">
        <v>1.4</v>
      </c>
      <c r="G3275" s="57"/>
      <c r="H3275" s="21"/>
      <c r="I3275" s="55">
        <v>2</v>
      </c>
      <c r="J3275" s="56"/>
      <c r="K3275" s="354">
        <v>2</v>
      </c>
      <c r="L3275" s="649">
        <f t="shared" ref="L3275:L3278" si="218">PRODUCT(C3275:K3275)</f>
        <v>1.9599999999999997</v>
      </c>
    </row>
    <row r="3276" spans="2:12" ht="15.75">
      <c r="B3276" s="660" t="s">
        <v>600</v>
      </c>
      <c r="C3276" s="19"/>
      <c r="D3276" s="19">
        <v>1.1000000000000001</v>
      </c>
      <c r="E3276" s="236">
        <v>0.25</v>
      </c>
      <c r="F3276" s="48">
        <v>1.4</v>
      </c>
      <c r="G3276" s="57"/>
      <c r="H3276" s="21"/>
      <c r="I3276" s="55">
        <v>1</v>
      </c>
      <c r="J3276" s="56"/>
      <c r="K3276" s="354">
        <v>2</v>
      </c>
      <c r="L3276" s="649">
        <f t="shared" si="218"/>
        <v>0.77</v>
      </c>
    </row>
    <row r="3277" spans="2:12" ht="15.75">
      <c r="B3277" s="814" t="s">
        <v>715</v>
      </c>
      <c r="C3277" s="19"/>
      <c r="D3277" s="19">
        <v>1.2</v>
      </c>
      <c r="E3277" s="236">
        <v>0.25</v>
      </c>
      <c r="F3277" s="48">
        <v>1.7</v>
      </c>
      <c r="G3277" s="57"/>
      <c r="H3277" s="21"/>
      <c r="I3277" s="55">
        <v>1</v>
      </c>
      <c r="J3277" s="56"/>
      <c r="K3277" s="354">
        <v>2</v>
      </c>
      <c r="L3277" s="649">
        <f t="shared" si="218"/>
        <v>1.02</v>
      </c>
    </row>
    <row r="3278" spans="2:12" ht="15.75">
      <c r="B3278" s="814" t="s">
        <v>716</v>
      </c>
      <c r="C3278" s="19"/>
      <c r="D3278" s="19">
        <v>1.7</v>
      </c>
      <c r="E3278" s="236">
        <v>0.25</v>
      </c>
      <c r="F3278" s="48">
        <v>1.7</v>
      </c>
      <c r="G3278" s="57"/>
      <c r="H3278" s="21"/>
      <c r="I3278" s="55">
        <v>2</v>
      </c>
      <c r="J3278" s="56"/>
      <c r="K3278" s="354">
        <v>2</v>
      </c>
      <c r="L3278" s="649">
        <f t="shared" si="218"/>
        <v>2.8899999999999997</v>
      </c>
    </row>
    <row r="3279" spans="2:12" ht="15.75">
      <c r="B3279" s="658" t="s">
        <v>886</v>
      </c>
      <c r="C3279" s="19"/>
      <c r="D3279" s="19"/>
      <c r="E3279" s="48"/>
      <c r="F3279" s="47"/>
      <c r="G3279" s="57"/>
      <c r="H3279" s="21"/>
      <c r="I3279" s="55"/>
      <c r="J3279" s="56"/>
      <c r="K3279" s="5"/>
      <c r="L3279" s="649"/>
    </row>
    <row r="3280" spans="2:12" ht="15.75">
      <c r="B3280" s="813" t="s">
        <v>599</v>
      </c>
      <c r="C3280" s="19"/>
      <c r="D3280" s="19">
        <v>1.4</v>
      </c>
      <c r="E3280" s="236">
        <v>0.25</v>
      </c>
      <c r="F3280" s="48">
        <v>1.4</v>
      </c>
      <c r="G3280" s="57"/>
      <c r="H3280" s="21"/>
      <c r="I3280" s="55">
        <v>2</v>
      </c>
      <c r="J3280" s="56"/>
      <c r="K3280" s="354">
        <v>2</v>
      </c>
      <c r="L3280" s="649">
        <f t="shared" ref="L3280:L3284" si="219">PRODUCT(C3280:K3280)</f>
        <v>1.9599999999999997</v>
      </c>
    </row>
    <row r="3281" spans="2:12" ht="15.75">
      <c r="B3281" s="660" t="s">
        <v>600</v>
      </c>
      <c r="C3281" s="19"/>
      <c r="D3281" s="19">
        <v>1.1000000000000001</v>
      </c>
      <c r="E3281" s="236">
        <v>0.25</v>
      </c>
      <c r="F3281" s="48">
        <v>1.4</v>
      </c>
      <c r="G3281" s="57"/>
      <c r="H3281" s="21"/>
      <c r="I3281" s="55">
        <v>2</v>
      </c>
      <c r="J3281" s="56"/>
      <c r="K3281" s="354">
        <v>2</v>
      </c>
      <c r="L3281" s="649">
        <f t="shared" si="219"/>
        <v>1.54</v>
      </c>
    </row>
    <row r="3282" spans="2:12" ht="15.75">
      <c r="B3282" s="814" t="s">
        <v>601</v>
      </c>
      <c r="C3282" s="19"/>
      <c r="D3282" s="19">
        <v>1.2</v>
      </c>
      <c r="E3282" s="236">
        <v>0.25</v>
      </c>
      <c r="F3282" s="48">
        <v>1.2</v>
      </c>
      <c r="G3282" s="57"/>
      <c r="H3282" s="21"/>
      <c r="I3282" s="55">
        <v>1</v>
      </c>
      <c r="J3282" s="56"/>
      <c r="K3282" s="354">
        <v>2</v>
      </c>
      <c r="L3282" s="649">
        <f t="shared" si="219"/>
        <v>0.72</v>
      </c>
    </row>
    <row r="3283" spans="2:12" ht="15.75">
      <c r="B3283" s="814" t="s">
        <v>715</v>
      </c>
      <c r="C3283" s="19"/>
      <c r="D3283" s="19">
        <v>1.2</v>
      </c>
      <c r="E3283" s="236">
        <v>0.25</v>
      </c>
      <c r="F3283" s="48">
        <v>1.7</v>
      </c>
      <c r="G3283" s="57"/>
      <c r="H3283" s="21"/>
      <c r="I3283" s="55">
        <v>1</v>
      </c>
      <c r="J3283" s="56"/>
      <c r="K3283" s="354">
        <v>2</v>
      </c>
      <c r="L3283" s="649">
        <f t="shared" si="219"/>
        <v>1.02</v>
      </c>
    </row>
    <row r="3284" spans="2:12" ht="15.75">
      <c r="B3284" s="814" t="s">
        <v>716</v>
      </c>
      <c r="C3284" s="19"/>
      <c r="D3284" s="19">
        <v>1.7</v>
      </c>
      <c r="E3284" s="236">
        <v>0.25</v>
      </c>
      <c r="F3284" s="48">
        <v>1.7</v>
      </c>
      <c r="G3284" s="57"/>
      <c r="H3284" s="21"/>
      <c r="I3284" s="55">
        <v>2</v>
      </c>
      <c r="J3284" s="56"/>
      <c r="K3284" s="354">
        <v>2</v>
      </c>
      <c r="L3284" s="649">
        <f t="shared" si="219"/>
        <v>2.8899999999999997</v>
      </c>
    </row>
    <row r="3285" spans="2:12" ht="15.75">
      <c r="B3285" s="815" t="s">
        <v>895</v>
      </c>
      <c r="C3285" s="19"/>
      <c r="D3285" s="19"/>
      <c r="E3285" s="48"/>
      <c r="F3285" s="47"/>
      <c r="G3285" s="57"/>
      <c r="H3285" s="21"/>
      <c r="I3285" s="55"/>
      <c r="J3285" s="56"/>
      <c r="K3285" s="354"/>
      <c r="L3285" s="649"/>
    </row>
    <row r="3286" spans="2:12" ht="16.5">
      <c r="B3286" s="799" t="s">
        <v>606</v>
      </c>
      <c r="C3286" s="19"/>
      <c r="D3286" s="19">
        <v>0.6</v>
      </c>
      <c r="E3286" s="48">
        <v>0.5</v>
      </c>
      <c r="F3286" s="47">
        <v>18.73</v>
      </c>
      <c r="G3286" s="57"/>
      <c r="H3286" s="21"/>
      <c r="I3286" s="55">
        <v>4</v>
      </c>
      <c r="J3286" s="56"/>
      <c r="K3286" s="354">
        <v>2</v>
      </c>
      <c r="L3286" s="649">
        <f t="shared" ref="L3286:L3298" si="220">PRODUCT(C3286:K3286)</f>
        <v>44.951999999999998</v>
      </c>
    </row>
    <row r="3287" spans="2:12" ht="16.5">
      <c r="B3287" s="799" t="s">
        <v>607</v>
      </c>
      <c r="C3287" s="19"/>
      <c r="D3287" s="19">
        <v>0.6</v>
      </c>
      <c r="E3287" s="48">
        <v>0.5</v>
      </c>
      <c r="F3287" s="47">
        <v>4.05</v>
      </c>
      <c r="G3287" s="57"/>
      <c r="H3287" s="21"/>
      <c r="I3287" s="55">
        <v>6</v>
      </c>
      <c r="J3287" s="56"/>
      <c r="K3287" s="354">
        <v>2</v>
      </c>
      <c r="L3287" s="649">
        <f t="shared" si="220"/>
        <v>14.579999999999998</v>
      </c>
    </row>
    <row r="3288" spans="2:12" ht="16.5">
      <c r="B3288" s="799" t="s">
        <v>608</v>
      </c>
      <c r="C3288" s="19"/>
      <c r="D3288" s="19">
        <v>0.6</v>
      </c>
      <c r="E3288" s="48">
        <v>0.5</v>
      </c>
      <c r="F3288" s="47">
        <v>3.65</v>
      </c>
      <c r="G3288" s="57"/>
      <c r="H3288" s="21"/>
      <c r="I3288" s="55">
        <v>17</v>
      </c>
      <c r="J3288" s="56"/>
      <c r="K3288" s="354">
        <v>2</v>
      </c>
      <c r="L3288" s="649">
        <f t="shared" si="220"/>
        <v>37.229999999999997</v>
      </c>
    </row>
    <row r="3289" spans="2:12" ht="16.5">
      <c r="B3289" s="799" t="s">
        <v>609</v>
      </c>
      <c r="C3289" s="19"/>
      <c r="D3289" s="19">
        <v>0.6</v>
      </c>
      <c r="E3289" s="48">
        <v>0.5</v>
      </c>
      <c r="F3289" s="47">
        <v>14.3</v>
      </c>
      <c r="G3289" s="57"/>
      <c r="H3289" s="21"/>
      <c r="I3289" s="55">
        <f>2+2</f>
        <v>4</v>
      </c>
      <c r="J3289" s="56"/>
      <c r="K3289" s="354">
        <v>2</v>
      </c>
      <c r="L3289" s="649">
        <f t="shared" si="220"/>
        <v>34.32</v>
      </c>
    </row>
    <row r="3290" spans="2:12" ht="16.5">
      <c r="B3290" s="799" t="s">
        <v>610</v>
      </c>
      <c r="C3290" s="19"/>
      <c r="D3290" s="19">
        <v>0.6</v>
      </c>
      <c r="E3290" s="48">
        <v>0.5</v>
      </c>
      <c r="F3290" s="47">
        <v>4.34</v>
      </c>
      <c r="G3290" s="57"/>
      <c r="H3290" s="21"/>
      <c r="I3290" s="55">
        <v>2</v>
      </c>
      <c r="J3290" s="56"/>
      <c r="K3290" s="354">
        <v>2</v>
      </c>
      <c r="L3290" s="649">
        <f t="shared" si="220"/>
        <v>5.2079999999999993</v>
      </c>
    </row>
    <row r="3291" spans="2:12" ht="16.5">
      <c r="B3291" s="799" t="s">
        <v>611</v>
      </c>
      <c r="C3291" s="19"/>
      <c r="D3291" s="19">
        <v>0.6</v>
      </c>
      <c r="E3291" s="48">
        <v>0.5</v>
      </c>
      <c r="F3291" s="47">
        <v>2.5299999999999998</v>
      </c>
      <c r="G3291" s="57"/>
      <c r="H3291" s="21"/>
      <c r="I3291" s="55">
        <v>1</v>
      </c>
      <c r="J3291" s="56"/>
      <c r="K3291" s="354">
        <v>2</v>
      </c>
      <c r="L3291" s="649">
        <f t="shared" si="220"/>
        <v>1.5179999999999998</v>
      </c>
    </row>
    <row r="3292" spans="2:12" ht="16.5">
      <c r="B3292" s="799" t="s">
        <v>612</v>
      </c>
      <c r="C3292" s="19"/>
      <c r="D3292" s="19">
        <v>0.6</v>
      </c>
      <c r="E3292" s="48">
        <v>0.5</v>
      </c>
      <c r="F3292" s="47">
        <v>1.5</v>
      </c>
      <c r="G3292" s="57"/>
      <c r="H3292" s="21"/>
      <c r="I3292" s="55">
        <v>3</v>
      </c>
      <c r="J3292" s="56"/>
      <c r="K3292" s="354">
        <v>2</v>
      </c>
      <c r="L3292" s="649">
        <f t="shared" si="220"/>
        <v>2.6999999999999997</v>
      </c>
    </row>
    <row r="3293" spans="2:12" ht="16.5">
      <c r="B3293" s="799" t="s">
        <v>613</v>
      </c>
      <c r="C3293" s="19"/>
      <c r="D3293" s="19">
        <v>0.6</v>
      </c>
      <c r="E3293" s="48">
        <v>0.5</v>
      </c>
      <c r="F3293" s="47">
        <v>7.42</v>
      </c>
      <c r="G3293" s="57"/>
      <c r="H3293" s="21"/>
      <c r="I3293" s="55">
        <v>2</v>
      </c>
      <c r="J3293" s="56"/>
      <c r="K3293" s="354">
        <v>2</v>
      </c>
      <c r="L3293" s="649">
        <f t="shared" si="220"/>
        <v>8.9039999999999999</v>
      </c>
    </row>
    <row r="3294" spans="2:12" ht="16.5">
      <c r="B3294" s="799" t="s">
        <v>614</v>
      </c>
      <c r="C3294" s="19"/>
      <c r="D3294" s="19">
        <v>0.6</v>
      </c>
      <c r="E3294" s="48">
        <v>0.5</v>
      </c>
      <c r="F3294" s="47">
        <v>14.5</v>
      </c>
      <c r="G3294" s="57"/>
      <c r="H3294" s="21"/>
      <c r="I3294" s="55">
        <v>1</v>
      </c>
      <c r="J3294" s="56"/>
      <c r="K3294" s="354">
        <v>2</v>
      </c>
      <c r="L3294" s="649">
        <f t="shared" si="220"/>
        <v>8.6999999999999993</v>
      </c>
    </row>
    <row r="3295" spans="2:12" ht="16.5">
      <c r="B3295" s="799" t="s">
        <v>615</v>
      </c>
      <c r="C3295" s="19"/>
      <c r="D3295" s="19">
        <v>0.6</v>
      </c>
      <c r="E3295" s="48">
        <v>0.5</v>
      </c>
      <c r="F3295" s="47">
        <f>3.84+3.38</f>
        <v>7.22</v>
      </c>
      <c r="G3295" s="57"/>
      <c r="H3295" s="21"/>
      <c r="I3295" s="55">
        <v>2</v>
      </c>
      <c r="J3295" s="56"/>
      <c r="K3295" s="354">
        <v>2</v>
      </c>
      <c r="L3295" s="649">
        <f t="shared" si="220"/>
        <v>8.6639999999999997</v>
      </c>
    </row>
    <row r="3296" spans="2:12" ht="16.5">
      <c r="B3296" s="799" t="s">
        <v>616</v>
      </c>
      <c r="C3296" s="19"/>
      <c r="D3296" s="19">
        <v>0.6</v>
      </c>
      <c r="E3296" s="48">
        <v>0.5</v>
      </c>
      <c r="F3296" s="47">
        <v>10.62</v>
      </c>
      <c r="G3296" s="57"/>
      <c r="H3296" s="21"/>
      <c r="I3296" s="55">
        <v>2</v>
      </c>
      <c r="J3296" s="56"/>
      <c r="K3296" s="354">
        <v>2</v>
      </c>
      <c r="L3296" s="649">
        <f t="shared" si="220"/>
        <v>12.743999999999998</v>
      </c>
    </row>
    <row r="3297" spans="2:12" ht="16.5">
      <c r="B3297" s="799" t="s">
        <v>617</v>
      </c>
      <c r="C3297" s="19"/>
      <c r="D3297" s="19">
        <v>0.6</v>
      </c>
      <c r="E3297" s="48">
        <v>0.5</v>
      </c>
      <c r="F3297" s="47">
        <v>2.5499999999999998</v>
      </c>
      <c r="G3297" s="57"/>
      <c r="H3297" s="21"/>
      <c r="I3297" s="55">
        <v>1</v>
      </c>
      <c r="J3297" s="56"/>
      <c r="K3297" s="354">
        <v>2</v>
      </c>
      <c r="L3297" s="649">
        <f t="shared" si="220"/>
        <v>1.5299999999999998</v>
      </c>
    </row>
    <row r="3298" spans="2:12" ht="13.9" customHeight="1">
      <c r="B3298" s="799" t="s">
        <v>618</v>
      </c>
      <c r="C3298" s="19"/>
      <c r="D3298" s="19">
        <v>0.6</v>
      </c>
      <c r="E3298" s="48">
        <v>0.5</v>
      </c>
      <c r="F3298" s="47">
        <v>3.74</v>
      </c>
      <c r="G3298" s="39"/>
      <c r="H3298" s="39"/>
      <c r="I3298" s="137">
        <v>1</v>
      </c>
      <c r="J3298" s="56"/>
      <c r="K3298" s="354">
        <v>2</v>
      </c>
      <c r="L3298" s="649">
        <f t="shared" si="220"/>
        <v>2.2440000000000002</v>
      </c>
    </row>
    <row r="3299" spans="2:12" ht="13.9" customHeight="1">
      <c r="B3299" s="816"/>
      <c r="C3299" s="19"/>
      <c r="D3299" s="19"/>
      <c r="E3299" s="59"/>
      <c r="F3299" s="47"/>
      <c r="G3299" s="39"/>
      <c r="H3299" s="39"/>
      <c r="I3299" s="137"/>
      <c r="J3299" s="56"/>
      <c r="K3299" s="5"/>
      <c r="L3299" s="649"/>
    </row>
    <row r="3300" spans="2:12" ht="13.9" customHeight="1">
      <c r="B3300" s="737" t="s">
        <v>980</v>
      </c>
      <c r="C3300" s="39"/>
      <c r="D3300" s="39"/>
      <c r="E3300" s="39"/>
      <c r="F3300" s="39"/>
      <c r="G3300" s="39"/>
      <c r="H3300" s="39"/>
      <c r="I3300" s="39"/>
      <c r="J3300" s="39"/>
      <c r="K3300" s="39"/>
      <c r="L3300" s="738"/>
    </row>
    <row r="3301" spans="2:12" ht="13.9" customHeight="1">
      <c r="B3301" s="662" t="s">
        <v>599</v>
      </c>
      <c r="C3301" s="269"/>
      <c r="D3301" s="19">
        <v>1</v>
      </c>
      <c r="E3301" s="19">
        <v>0.3</v>
      </c>
      <c r="F3301" s="19">
        <v>1</v>
      </c>
      <c r="G3301" s="270"/>
      <c r="H3301" s="271"/>
      <c r="I3301" s="56">
        <v>4</v>
      </c>
      <c r="J3301" s="56">
        <v>4</v>
      </c>
      <c r="K3301" s="17"/>
      <c r="L3301" s="649">
        <f>D3301*E3301*F3301*I3301*J3301</f>
        <v>4.8</v>
      </c>
    </row>
    <row r="3302" spans="2:12" ht="13.9" customHeight="1">
      <c r="B3302" s="662" t="s">
        <v>666</v>
      </c>
      <c r="C3302" s="269"/>
      <c r="D3302" s="19">
        <v>0.25</v>
      </c>
      <c r="E3302" s="19">
        <v>0.3</v>
      </c>
      <c r="F3302" s="19">
        <v>4.5</v>
      </c>
      <c r="G3302" s="270"/>
      <c r="H3302" s="271"/>
      <c r="I3302" s="56">
        <v>2</v>
      </c>
      <c r="J3302" s="56">
        <v>3.5</v>
      </c>
      <c r="K3302" s="17"/>
      <c r="L3302" s="649">
        <f t="shared" ref="L3302:L3303" si="221">D3302*E3302*F3302*I3302*J3302</f>
        <v>2.3624999999999998</v>
      </c>
    </row>
    <row r="3303" spans="2:12" ht="13.9" customHeight="1">
      <c r="B3303" s="662" t="s">
        <v>667</v>
      </c>
      <c r="C3303" s="269"/>
      <c r="D3303" s="19">
        <v>0.25</v>
      </c>
      <c r="E3303" s="19">
        <v>0.3</v>
      </c>
      <c r="F3303" s="19">
        <v>4.5</v>
      </c>
      <c r="G3303" s="270"/>
      <c r="H3303" s="271"/>
      <c r="I3303" s="56">
        <v>2</v>
      </c>
      <c r="J3303" s="56">
        <v>3.5</v>
      </c>
      <c r="K3303" s="17"/>
      <c r="L3303" s="649">
        <f t="shared" si="221"/>
        <v>2.3624999999999998</v>
      </c>
    </row>
    <row r="3304" spans="2:12" ht="15">
      <c r="B3304" s="734"/>
      <c r="C3304" s="19"/>
      <c r="D3304" s="19"/>
      <c r="E3304" s="59"/>
      <c r="F3304" s="47"/>
      <c r="G3304" s="57"/>
      <c r="H3304" s="21"/>
      <c r="I3304" s="55"/>
      <c r="J3304" s="56"/>
      <c r="K3304" s="17"/>
      <c r="L3304" s="649"/>
    </row>
    <row r="3305" spans="2:12" ht="16.5">
      <c r="B3305" s="734"/>
      <c r="C3305" s="19"/>
      <c r="D3305" s="20"/>
      <c r="E3305" s="20"/>
      <c r="F3305" s="47"/>
      <c r="G3305" s="20"/>
      <c r="H3305" s="21"/>
      <c r="I3305" s="41"/>
      <c r="J3305" s="46"/>
      <c r="K3305" s="17"/>
      <c r="L3305" s="649"/>
    </row>
    <row r="3306" spans="2:12">
      <c r="B3306" s="651"/>
      <c r="L3306" s="652"/>
    </row>
    <row r="3307" spans="2:12" ht="15.6" customHeight="1">
      <c r="B3307" s="638" t="s">
        <v>398</v>
      </c>
      <c r="C3307" s="8">
        <v>3</v>
      </c>
      <c r="D3307" s="1008" t="s">
        <v>1038</v>
      </c>
      <c r="E3307" s="1009"/>
      <c r="F3307" s="1009"/>
      <c r="G3307" s="1009"/>
      <c r="H3307" s="1009"/>
      <c r="I3307" s="1009"/>
      <c r="J3307" s="1009"/>
      <c r="K3307" s="1009"/>
      <c r="L3307" s="1010"/>
    </row>
    <row r="3308" spans="2:12" ht="15">
      <c r="B3308" s="1005"/>
      <c r="C3308" s="1006"/>
      <c r="D3308" s="1006"/>
      <c r="E3308" s="1006"/>
      <c r="F3308" s="1006"/>
      <c r="G3308" s="1006"/>
      <c r="H3308" s="1006"/>
      <c r="I3308" s="1006"/>
      <c r="J3308" s="1006"/>
      <c r="K3308" s="1006"/>
      <c r="L3308" s="1007"/>
    </row>
    <row r="3309" spans="2:12" ht="31.15" customHeight="1">
      <c r="B3309" s="653" t="s">
        <v>399</v>
      </c>
      <c r="C3309" s="201">
        <f>+'PROPUESTA ECONOMICA(Proponente)'!C398</f>
        <v>3.3</v>
      </c>
      <c r="D3309" s="1015" t="str">
        <f>+VLOOKUP('MEMORIAS DE CANTIDADES'!C3309,'PROPUESTA ECONOMICA(Proponente)'!$C$379:$H$661,5,FALSE)</f>
        <v>Solado de limpieza- concreto de 2000 psi, incluye suministro e instalación).</v>
      </c>
      <c r="E3309" s="1016"/>
      <c r="F3309" s="1016"/>
      <c r="G3309" s="1016"/>
      <c r="H3309" s="1017"/>
      <c r="I3309" s="11" t="s">
        <v>400</v>
      </c>
      <c r="J3309" s="11" t="str">
        <f>+VLOOKUP('MEMORIAS DE CANTIDADES'!C3309,'PROPUESTA ECONOMICA(Proponente)'!$C$379:$H$661,6,FALSE)</f>
        <v>m2</v>
      </c>
      <c r="K3309" s="11" t="s">
        <v>401</v>
      </c>
      <c r="L3309" s="643">
        <f>SUM(L3310:L3392)</f>
        <v>1449.9835000000003</v>
      </c>
    </row>
    <row r="3310" spans="2:12" ht="15">
      <c r="B3310" s="644"/>
      <c r="C3310" s="16"/>
      <c r="D3310" s="15"/>
      <c r="E3310" s="15"/>
      <c r="F3310" s="15"/>
      <c r="G3310" s="15"/>
      <c r="H3310" s="15"/>
      <c r="I3310" s="15"/>
      <c r="J3310" s="15"/>
      <c r="K3310" s="17"/>
      <c r="L3310" s="645"/>
    </row>
    <row r="3311" spans="2:12" ht="47.25">
      <c r="B3311" s="646" t="s">
        <v>402</v>
      </c>
      <c r="C3311" s="18" t="s">
        <v>403</v>
      </c>
      <c r="D3311" s="18" t="s">
        <v>404</v>
      </c>
      <c r="E3311" s="18" t="s">
        <v>405</v>
      </c>
      <c r="F3311" s="18" t="s">
        <v>406</v>
      </c>
      <c r="G3311" s="18" t="s">
        <v>407</v>
      </c>
      <c r="H3311" s="5" t="s">
        <v>408</v>
      </c>
      <c r="I3311" s="18" t="s">
        <v>409</v>
      </c>
      <c r="J3311" s="5" t="s">
        <v>410</v>
      </c>
      <c r="K3311" s="5" t="s">
        <v>411</v>
      </c>
      <c r="L3311" s="647" t="s">
        <v>412</v>
      </c>
    </row>
    <row r="3312" spans="2:12" ht="16.5">
      <c r="B3312" s="658" t="s">
        <v>438</v>
      </c>
      <c r="C3312" s="18"/>
      <c r="D3312" s="18"/>
      <c r="E3312" s="18"/>
      <c r="G3312" s="18"/>
      <c r="H3312" s="5"/>
      <c r="I3312" s="41"/>
      <c r="J3312" s="46"/>
      <c r="K3312" s="5"/>
      <c r="L3312" s="649"/>
    </row>
    <row r="3313" spans="2:12" ht="16.5">
      <c r="B3313" s="708" t="s">
        <v>440</v>
      </c>
      <c r="C3313" s="48"/>
      <c r="D3313" s="48">
        <v>4.4000000000000004</v>
      </c>
      <c r="E3313" s="48">
        <v>1</v>
      </c>
      <c r="F3313" s="45">
        <v>7.5</v>
      </c>
      <c r="G3313" s="48"/>
      <c r="H3313" s="30"/>
      <c r="I3313" s="41">
        <v>3</v>
      </c>
      <c r="J3313" s="46">
        <v>1.1000000000000001</v>
      </c>
      <c r="K3313" s="30"/>
      <c r="L3313" s="649">
        <f>PRODUCT(C3313:K3313)</f>
        <v>108.9</v>
      </c>
    </row>
    <row r="3314" spans="2:12" ht="16.5">
      <c r="B3314" s="708" t="s">
        <v>441</v>
      </c>
      <c r="C3314" s="48"/>
      <c r="D3314" s="48">
        <v>2.5</v>
      </c>
      <c r="E3314" s="48">
        <v>1</v>
      </c>
      <c r="F3314" s="45">
        <v>6.65</v>
      </c>
      <c r="G3314" s="48"/>
      <c r="H3314" s="30"/>
      <c r="I3314" s="41">
        <v>1</v>
      </c>
      <c r="J3314" s="46">
        <v>1.1000000000000001</v>
      </c>
      <c r="K3314" s="30"/>
      <c r="L3314" s="649">
        <f t="shared" ref="L3314" si="222">PRODUCT(C3314:K3314)</f>
        <v>18.287500000000001</v>
      </c>
    </row>
    <row r="3315" spans="2:12" ht="16.5">
      <c r="B3315" s="708" t="s">
        <v>488</v>
      </c>
      <c r="C3315" s="48"/>
      <c r="D3315" s="48">
        <v>0.4</v>
      </c>
      <c r="E3315" s="48"/>
      <c r="F3315" s="45">
        <f>10.09*2+6.35*2+4.26*2+1.15*2</f>
        <v>43.699999999999989</v>
      </c>
      <c r="G3315" s="48"/>
      <c r="H3315" s="30"/>
      <c r="I3315" s="41"/>
      <c r="J3315" s="46"/>
      <c r="K3315" s="30"/>
      <c r="L3315" s="649">
        <f t="shared" ref="L3315:L3318" si="223">PRODUCT(C3315:K3315)</f>
        <v>17.479999999999997</v>
      </c>
    </row>
    <row r="3316" spans="2:12" ht="16.5">
      <c r="B3316" s="708" t="s">
        <v>489</v>
      </c>
      <c r="C3316" s="48"/>
      <c r="D3316" s="48">
        <v>0.5</v>
      </c>
      <c r="E3316" s="48"/>
      <c r="F3316" s="45">
        <v>3.3</v>
      </c>
      <c r="G3316" s="48"/>
      <c r="H3316" s="30"/>
      <c r="I3316" s="41"/>
      <c r="J3316" s="46"/>
      <c r="K3316" s="30"/>
      <c r="L3316" s="649">
        <f t="shared" si="223"/>
        <v>1.65</v>
      </c>
    </row>
    <row r="3317" spans="2:12" ht="16.5">
      <c r="B3317" s="708" t="s">
        <v>490</v>
      </c>
      <c r="C3317" s="48"/>
      <c r="D3317" s="48">
        <v>0.3</v>
      </c>
      <c r="E3317" s="48"/>
      <c r="F3317" s="45">
        <f>3.6*7</f>
        <v>25.2</v>
      </c>
      <c r="G3317" s="48"/>
      <c r="H3317" s="30"/>
      <c r="I3317" s="41"/>
      <c r="J3317" s="46"/>
      <c r="K3317" s="30"/>
      <c r="L3317" s="649">
        <f t="shared" si="223"/>
        <v>7.56</v>
      </c>
    </row>
    <row r="3318" spans="2:12" ht="16.5">
      <c r="B3318" s="708" t="s">
        <v>491</v>
      </c>
      <c r="C3318" s="48"/>
      <c r="D3318" s="48">
        <v>0.3</v>
      </c>
      <c r="E3318" s="48"/>
      <c r="F3318" s="45">
        <v>3.88</v>
      </c>
      <c r="G3318" s="48"/>
      <c r="H3318" s="30"/>
      <c r="I3318" s="41"/>
      <c r="J3318" s="46"/>
      <c r="K3318" s="30"/>
      <c r="L3318" s="649">
        <f t="shared" si="223"/>
        <v>1.1639999999999999</v>
      </c>
    </row>
    <row r="3319" spans="2:12" ht="16.5">
      <c r="B3319" s="708"/>
      <c r="C3319" s="48"/>
      <c r="D3319" s="48"/>
      <c r="E3319" s="48"/>
      <c r="F3319" s="45"/>
      <c r="G3319" s="48"/>
      <c r="H3319" s="30"/>
      <c r="I3319" s="41"/>
      <c r="J3319" s="46"/>
      <c r="K3319" s="30"/>
      <c r="L3319" s="649"/>
    </row>
    <row r="3320" spans="2:12" ht="16.5">
      <c r="B3320" s="708"/>
      <c r="C3320" s="48"/>
      <c r="D3320" s="48"/>
      <c r="E3320" s="48"/>
      <c r="F3320" s="45"/>
      <c r="G3320" s="48"/>
      <c r="H3320" s="30"/>
      <c r="I3320" s="41"/>
      <c r="J3320" s="46"/>
      <c r="K3320" s="30"/>
      <c r="L3320" s="649"/>
    </row>
    <row r="3321" spans="2:12" ht="16.5">
      <c r="B3321" s="658" t="s">
        <v>464</v>
      </c>
      <c r="C3321" s="48"/>
      <c r="D3321" s="48"/>
      <c r="E3321" s="48"/>
      <c r="F3321" s="49"/>
      <c r="G3321" s="48"/>
      <c r="H3321" s="30"/>
      <c r="I3321" s="41"/>
      <c r="J3321" s="46"/>
      <c r="K3321" s="30"/>
      <c r="L3321" s="649"/>
    </row>
    <row r="3322" spans="2:12" ht="16.5">
      <c r="B3322" s="734" t="s">
        <v>465</v>
      </c>
      <c r="C3322" s="50"/>
      <c r="D3322" s="59">
        <v>4.4000000000000004</v>
      </c>
      <c r="E3322" s="59">
        <v>1</v>
      </c>
      <c r="F3322" s="51">
        <v>7.5</v>
      </c>
      <c r="G3322" s="50"/>
      <c r="H3322" s="52"/>
      <c r="I3322" s="53">
        <v>4</v>
      </c>
      <c r="J3322" s="46">
        <v>1.2</v>
      </c>
      <c r="K3322" s="52"/>
      <c r="L3322" s="649">
        <f t="shared" ref="L3322:L3323" si="224">PRODUCT(C3322:K3322)</f>
        <v>158.4</v>
      </c>
    </row>
    <row r="3323" spans="2:12" ht="16.5">
      <c r="B3323" s="812" t="s">
        <v>466</v>
      </c>
      <c r="C3323" s="351"/>
      <c r="D3323" s="352">
        <v>2.5</v>
      </c>
      <c r="E3323" s="59">
        <v>1</v>
      </c>
      <c r="F3323" s="353">
        <v>6.65</v>
      </c>
      <c r="G3323" s="351"/>
      <c r="H3323" s="354"/>
      <c r="I3323" s="808">
        <v>2</v>
      </c>
      <c r="J3323" s="46">
        <v>1.2</v>
      </c>
      <c r="K3323" s="354"/>
      <c r="L3323" s="649">
        <f t="shared" si="224"/>
        <v>39.9</v>
      </c>
    </row>
    <row r="3324" spans="2:12" ht="16.5">
      <c r="B3324" s="708" t="s">
        <v>492</v>
      </c>
      <c r="C3324" s="351"/>
      <c r="D3324" s="352">
        <v>0.3</v>
      </c>
      <c r="E3324" s="59"/>
      <c r="F3324" s="353">
        <f>5.05*2+4.8*2</f>
        <v>19.7</v>
      </c>
      <c r="G3324" s="351"/>
      <c r="H3324" s="354"/>
      <c r="I3324" s="53">
        <v>2</v>
      </c>
      <c r="J3324" s="355"/>
      <c r="K3324" s="354"/>
      <c r="L3324" s="649">
        <f t="shared" ref="L3324:L3327" si="225">PRODUCT(C3324:K3324)</f>
        <v>11.819999999999999</v>
      </c>
    </row>
    <row r="3325" spans="2:12" ht="16.5">
      <c r="B3325" s="708" t="s">
        <v>493</v>
      </c>
      <c r="C3325" s="351"/>
      <c r="D3325" s="352">
        <v>0.5</v>
      </c>
      <c r="E3325" s="59"/>
      <c r="F3325" s="353">
        <f>3.08*2</f>
        <v>6.16</v>
      </c>
      <c r="G3325" s="351"/>
      <c r="H3325" s="354"/>
      <c r="I3325" s="53">
        <v>2</v>
      </c>
      <c r="J3325" s="355"/>
      <c r="K3325" s="354"/>
      <c r="L3325" s="649">
        <f t="shared" si="225"/>
        <v>6.16</v>
      </c>
    </row>
    <row r="3326" spans="2:12" ht="16.5">
      <c r="B3326" s="708" t="s">
        <v>494</v>
      </c>
      <c r="C3326" s="351"/>
      <c r="D3326" s="352">
        <v>0.3</v>
      </c>
      <c r="E3326" s="59"/>
      <c r="F3326" s="353">
        <f>3.48*2</f>
        <v>6.96</v>
      </c>
      <c r="G3326" s="351"/>
      <c r="H3326" s="354"/>
      <c r="I3326" s="53">
        <v>2</v>
      </c>
      <c r="J3326" s="355"/>
      <c r="K3326" s="354"/>
      <c r="L3326" s="649">
        <f t="shared" si="225"/>
        <v>4.1760000000000002</v>
      </c>
    </row>
    <row r="3327" spans="2:12" ht="16.5">
      <c r="B3327" s="708" t="s">
        <v>495</v>
      </c>
      <c r="C3327" s="351"/>
      <c r="D3327" s="352">
        <v>0.3</v>
      </c>
      <c r="E3327" s="59"/>
      <c r="F3327" s="353">
        <v>1.72</v>
      </c>
      <c r="G3327" s="351"/>
      <c r="H3327" s="354"/>
      <c r="I3327" s="53">
        <v>2</v>
      </c>
      <c r="J3327" s="355"/>
      <c r="K3327" s="354"/>
      <c r="L3327" s="649">
        <f t="shared" si="225"/>
        <v>1.032</v>
      </c>
    </row>
    <row r="3328" spans="2:12" ht="16.5">
      <c r="B3328" s="812"/>
      <c r="C3328" s="351"/>
      <c r="D3328" s="352"/>
      <c r="E3328" s="59"/>
      <c r="F3328" s="353"/>
      <c r="G3328" s="351"/>
      <c r="H3328" s="354"/>
      <c r="I3328" s="53"/>
      <c r="J3328" s="355"/>
      <c r="K3328" s="354"/>
      <c r="L3328" s="649"/>
    </row>
    <row r="3329" spans="2:12" ht="15.75">
      <c r="B3329" s="734" t="s">
        <v>500</v>
      </c>
      <c r="C3329" s="19"/>
      <c r="D3329" s="19"/>
      <c r="E3329" s="48"/>
      <c r="F3329" s="47"/>
      <c r="G3329" s="57"/>
      <c r="H3329" s="21"/>
      <c r="I3329" s="55"/>
      <c r="J3329" s="56"/>
      <c r="K3329" s="5"/>
      <c r="L3329" s="761"/>
    </row>
    <row r="3330" spans="2:12" ht="15">
      <c r="B3330" s="734" t="s">
        <v>461</v>
      </c>
      <c r="C3330" s="39"/>
      <c r="D3330" s="39"/>
      <c r="E3330" s="39"/>
      <c r="F3330" s="39"/>
      <c r="G3330" s="39"/>
      <c r="H3330" s="39"/>
      <c r="I3330" s="39"/>
      <c r="J3330" s="39"/>
      <c r="K3330" s="39"/>
      <c r="L3330" s="738"/>
    </row>
    <row r="3331" spans="2:12" ht="15.75">
      <c r="B3331" s="734" t="s">
        <v>501</v>
      </c>
      <c r="C3331" s="61"/>
      <c r="D3331" s="61">
        <v>0.25</v>
      </c>
      <c r="E3331" s="59"/>
      <c r="F3331" s="62">
        <v>2.21</v>
      </c>
      <c r="G3331" s="63"/>
      <c r="H3331" s="64"/>
      <c r="I3331" s="65">
        <f>ROUND(240.6/2.5,0)</f>
        <v>96</v>
      </c>
      <c r="J3331" s="66"/>
      <c r="K3331" s="52"/>
      <c r="L3331" s="649">
        <f>PRODUCT(C3331:K3331)</f>
        <v>53.04</v>
      </c>
    </row>
    <row r="3332" spans="2:12" ht="15.75">
      <c r="B3332" s="734"/>
      <c r="C3332" s="61"/>
      <c r="D3332" s="61"/>
      <c r="E3332" s="59"/>
      <c r="F3332" s="62"/>
      <c r="G3332" s="63"/>
      <c r="H3332" s="64"/>
      <c r="I3332" s="65"/>
      <c r="J3332" s="66"/>
      <c r="K3332" s="52"/>
      <c r="L3332" s="649"/>
    </row>
    <row r="3333" spans="2:12" ht="15.75">
      <c r="B3333" s="734"/>
      <c r="C3333" s="19"/>
      <c r="D3333" s="19"/>
      <c r="E3333" s="48"/>
      <c r="F3333" s="39"/>
      <c r="G3333" s="57"/>
      <c r="H3333" s="21"/>
      <c r="I3333" s="47"/>
      <c r="J3333" s="56"/>
      <c r="K3333" s="5"/>
      <c r="L3333" s="649"/>
    </row>
    <row r="3334" spans="2:12" ht="15">
      <c r="B3334" s="734" t="s">
        <v>462</v>
      </c>
      <c r="C3334" s="19"/>
      <c r="D3334" s="39"/>
      <c r="E3334" s="39"/>
      <c r="F3334" s="39"/>
      <c r="G3334" s="39"/>
      <c r="H3334" s="39"/>
      <c r="I3334" s="39"/>
      <c r="J3334" s="39"/>
      <c r="K3334" s="39"/>
      <c r="L3334" s="649"/>
    </row>
    <row r="3335" spans="2:12" ht="15">
      <c r="B3335" s="746" t="s">
        <v>501</v>
      </c>
      <c r="C3335" s="19"/>
      <c r="D3335" s="20">
        <v>0.25</v>
      </c>
      <c r="E3335" s="20"/>
      <c r="F3335" s="47">
        <v>2.21</v>
      </c>
      <c r="G3335" s="19"/>
      <c r="H3335" s="21"/>
      <c r="I3335" s="47">
        <f>ROUND(217.6/2.5,0)+1</f>
        <v>88</v>
      </c>
      <c r="J3335" s="56"/>
      <c r="K3335" s="17"/>
      <c r="L3335" s="649">
        <f t="shared" ref="L3335" si="226">PRODUCT(C3335:K3335)</f>
        <v>48.62</v>
      </c>
    </row>
    <row r="3336" spans="2:12" ht="15">
      <c r="B3336" s="740"/>
      <c r="C3336" s="19"/>
      <c r="D3336" s="20"/>
      <c r="E3336" s="20"/>
      <c r="F3336" s="47"/>
      <c r="G3336" s="57"/>
      <c r="H3336" s="21"/>
      <c r="I3336" s="55"/>
      <c r="J3336" s="56"/>
      <c r="K3336" s="17"/>
      <c r="L3336" s="649"/>
    </row>
    <row r="3337" spans="2:12" ht="15.75">
      <c r="B3337" s="658" t="s">
        <v>889</v>
      </c>
      <c r="C3337" s="19"/>
      <c r="D3337" s="19"/>
      <c r="E3337" s="48"/>
      <c r="F3337" s="47"/>
      <c r="G3337" s="57"/>
      <c r="H3337" s="21"/>
      <c r="I3337" s="55"/>
      <c r="J3337" s="56"/>
      <c r="K3337" s="5"/>
      <c r="L3337" s="649"/>
    </row>
    <row r="3338" spans="2:12" ht="16.5">
      <c r="B3338" s="813" t="s">
        <v>943</v>
      </c>
      <c r="C3338" s="19"/>
      <c r="D3338" s="19">
        <v>2.1</v>
      </c>
      <c r="E3338" s="236">
        <v>1</v>
      </c>
      <c r="F3338" s="48">
        <v>5.15</v>
      </c>
      <c r="G3338" s="57"/>
      <c r="H3338" s="21"/>
      <c r="I3338" s="55">
        <v>2</v>
      </c>
      <c r="J3338" s="46">
        <v>1.1000000000000001</v>
      </c>
      <c r="K3338" s="354">
        <v>2</v>
      </c>
      <c r="L3338" s="649">
        <f t="shared" ref="L3338:L3341" si="227">PRODUCT(C3338:K3338)</f>
        <v>47.586000000000013</v>
      </c>
    </row>
    <row r="3339" spans="2:12" ht="16.5">
      <c r="B3339" s="660" t="s">
        <v>944</v>
      </c>
      <c r="C3339" s="19"/>
      <c r="D3339" s="19">
        <v>2.7</v>
      </c>
      <c r="E3339" s="236">
        <v>1</v>
      </c>
      <c r="F3339" s="48">
        <v>6</v>
      </c>
      <c r="G3339" s="57"/>
      <c r="H3339" s="21"/>
      <c r="I3339" s="55">
        <v>2</v>
      </c>
      <c r="J3339" s="46">
        <v>1.1000000000000001</v>
      </c>
      <c r="K3339" s="354">
        <v>2</v>
      </c>
      <c r="L3339" s="649">
        <f t="shared" si="227"/>
        <v>71.280000000000015</v>
      </c>
    </row>
    <row r="3340" spans="2:12" ht="16.5">
      <c r="B3340" s="814" t="s">
        <v>945</v>
      </c>
      <c r="C3340" s="19"/>
      <c r="D3340" s="19">
        <v>2.7</v>
      </c>
      <c r="E3340" s="236">
        <v>1</v>
      </c>
      <c r="F3340" s="48">
        <v>6</v>
      </c>
      <c r="G3340" s="57"/>
      <c r="H3340" s="21"/>
      <c r="I3340" s="55">
        <v>1</v>
      </c>
      <c r="J3340" s="46">
        <v>1.1000000000000001</v>
      </c>
      <c r="K3340" s="354">
        <v>2</v>
      </c>
      <c r="L3340" s="649">
        <f t="shared" si="227"/>
        <v>35.640000000000008</v>
      </c>
    </row>
    <row r="3341" spans="2:12" ht="16.5">
      <c r="B3341" s="814" t="s">
        <v>946</v>
      </c>
      <c r="C3341" s="19"/>
      <c r="D3341" s="19">
        <v>2.4</v>
      </c>
      <c r="E3341" s="236">
        <v>1</v>
      </c>
      <c r="F3341" s="48">
        <v>5.2</v>
      </c>
      <c r="G3341" s="57"/>
      <c r="H3341" s="21"/>
      <c r="I3341" s="55">
        <v>1</v>
      </c>
      <c r="J3341" s="46">
        <v>1.1000000000000001</v>
      </c>
      <c r="K3341" s="354">
        <v>2</v>
      </c>
      <c r="L3341" s="649">
        <f t="shared" si="227"/>
        <v>27.456000000000003</v>
      </c>
    </row>
    <row r="3342" spans="2:12" ht="16.5">
      <c r="B3342" s="799" t="s">
        <v>614</v>
      </c>
      <c r="C3342" s="19"/>
      <c r="D3342" s="19">
        <v>0.3</v>
      </c>
      <c r="E3342" s="48"/>
      <c r="F3342" s="47">
        <f>2.7+0.66</f>
        <v>3.3600000000000003</v>
      </c>
      <c r="G3342" s="57"/>
      <c r="H3342" s="219"/>
      <c r="I3342" s="55">
        <v>1</v>
      </c>
      <c r="J3342" s="56"/>
      <c r="K3342" s="354">
        <v>2</v>
      </c>
      <c r="L3342" s="762">
        <f t="shared" ref="L3342:L3349" si="228">PRODUCT(C3342:K3342)</f>
        <v>2.016</v>
      </c>
    </row>
    <row r="3343" spans="2:12" ht="16.5">
      <c r="B3343" s="799" t="s">
        <v>615</v>
      </c>
      <c r="C3343" s="19"/>
      <c r="D3343" s="19">
        <v>0.3</v>
      </c>
      <c r="E3343" s="48"/>
      <c r="F3343" s="47">
        <v>1.66</v>
      </c>
      <c r="G3343" s="57"/>
      <c r="H3343" s="219"/>
      <c r="I3343" s="55">
        <v>1</v>
      </c>
      <c r="J3343" s="56"/>
      <c r="K3343" s="354">
        <v>2</v>
      </c>
      <c r="L3343" s="762">
        <f t="shared" si="228"/>
        <v>0.99599999999999989</v>
      </c>
    </row>
    <row r="3344" spans="2:12" ht="16.5">
      <c r="B3344" s="799" t="s">
        <v>616</v>
      </c>
      <c r="C3344" s="19"/>
      <c r="D3344" s="19">
        <v>0.3</v>
      </c>
      <c r="E3344" s="48"/>
      <c r="F3344" s="47">
        <f>1.62+1.65</f>
        <v>3.27</v>
      </c>
      <c r="G3344" s="57"/>
      <c r="H3344" s="219"/>
      <c r="I3344" s="55">
        <v>3</v>
      </c>
      <c r="J3344" s="56"/>
      <c r="K3344" s="354">
        <v>2</v>
      </c>
      <c r="L3344" s="762">
        <f t="shared" si="228"/>
        <v>5.8860000000000001</v>
      </c>
    </row>
    <row r="3345" spans="2:12" ht="16.5">
      <c r="B3345" s="799" t="s">
        <v>617</v>
      </c>
      <c r="C3345" s="19"/>
      <c r="D3345" s="19">
        <v>0.3</v>
      </c>
      <c r="E3345" s="48"/>
      <c r="F3345" s="47">
        <v>2.96</v>
      </c>
      <c r="G3345" s="57"/>
      <c r="H3345" s="219"/>
      <c r="I3345" s="55">
        <v>2</v>
      </c>
      <c r="J3345" s="56"/>
      <c r="K3345" s="354">
        <v>2</v>
      </c>
      <c r="L3345" s="762">
        <f t="shared" si="228"/>
        <v>3.552</v>
      </c>
    </row>
    <row r="3346" spans="2:12" ht="16.5">
      <c r="B3346" s="799" t="s">
        <v>618</v>
      </c>
      <c r="C3346" s="19"/>
      <c r="D3346" s="19">
        <v>0.3</v>
      </c>
      <c r="E3346" s="48"/>
      <c r="F3346" s="47">
        <f>3.69+3.39+3.52</f>
        <v>10.6</v>
      </c>
      <c r="G3346" s="57"/>
      <c r="H3346" s="219"/>
      <c r="I3346" s="55">
        <v>1</v>
      </c>
      <c r="J3346" s="56"/>
      <c r="K3346" s="354">
        <v>2</v>
      </c>
      <c r="L3346" s="762">
        <f t="shared" si="228"/>
        <v>6.3599999999999994</v>
      </c>
    </row>
    <row r="3347" spans="2:12" ht="16.5">
      <c r="B3347" s="799" t="s">
        <v>619</v>
      </c>
      <c r="C3347" s="19"/>
      <c r="D3347" s="19">
        <v>0.3</v>
      </c>
      <c r="E3347" s="48"/>
      <c r="F3347" s="47">
        <v>5.15</v>
      </c>
      <c r="G3347" s="57"/>
      <c r="H3347" s="219"/>
      <c r="I3347" s="55">
        <v>1</v>
      </c>
      <c r="J3347" s="56"/>
      <c r="K3347" s="354">
        <v>2</v>
      </c>
      <c r="L3347" s="762">
        <f t="shared" si="228"/>
        <v>3.0900000000000003</v>
      </c>
    </row>
    <row r="3348" spans="2:12" ht="16.5">
      <c r="B3348" s="799" t="s">
        <v>620</v>
      </c>
      <c r="C3348" s="19"/>
      <c r="D3348" s="19">
        <v>0.3</v>
      </c>
      <c r="E3348" s="48"/>
      <c r="F3348" s="47">
        <v>3.62</v>
      </c>
      <c r="G3348" s="57"/>
      <c r="H3348" s="219"/>
      <c r="I3348" s="55">
        <v>1</v>
      </c>
      <c r="J3348" s="56"/>
      <c r="K3348" s="354">
        <v>2</v>
      </c>
      <c r="L3348" s="762">
        <f t="shared" si="228"/>
        <v>2.1720000000000002</v>
      </c>
    </row>
    <row r="3349" spans="2:12" ht="16.5">
      <c r="B3349" s="799" t="s">
        <v>621</v>
      </c>
      <c r="C3349" s="19"/>
      <c r="D3349" s="19">
        <v>0.3</v>
      </c>
      <c r="E3349" s="48"/>
      <c r="F3349" s="47">
        <f>3.64+3.49</f>
        <v>7.1300000000000008</v>
      </c>
      <c r="G3349" s="57"/>
      <c r="H3349" s="219"/>
      <c r="I3349" s="55">
        <v>1</v>
      </c>
      <c r="J3349" s="56"/>
      <c r="K3349" s="354">
        <v>2</v>
      </c>
      <c r="L3349" s="762">
        <f t="shared" si="228"/>
        <v>4.2780000000000005</v>
      </c>
    </row>
    <row r="3350" spans="2:12" ht="15.75">
      <c r="B3350" s="658" t="s">
        <v>886</v>
      </c>
      <c r="C3350" s="19"/>
      <c r="D3350" s="19"/>
      <c r="E3350" s="48"/>
      <c r="F3350" s="47"/>
      <c r="G3350" s="57"/>
      <c r="H3350" s="21"/>
      <c r="I3350" s="55"/>
      <c r="J3350" s="56"/>
      <c r="K3350" s="5"/>
      <c r="L3350" s="649"/>
    </row>
    <row r="3351" spans="2:12" ht="16.5">
      <c r="B3351" s="813" t="s">
        <v>943</v>
      </c>
      <c r="C3351" s="19"/>
      <c r="D3351" s="19">
        <v>2.1</v>
      </c>
      <c r="E3351" s="236">
        <v>1</v>
      </c>
      <c r="F3351" s="48">
        <v>5.15</v>
      </c>
      <c r="G3351" s="57"/>
      <c r="H3351" s="21"/>
      <c r="I3351" s="55">
        <v>2</v>
      </c>
      <c r="J3351" s="46">
        <v>1.1000000000000001</v>
      </c>
      <c r="K3351" s="354">
        <v>2</v>
      </c>
      <c r="L3351" s="649">
        <f t="shared" ref="L3351:L3354" si="229">PRODUCT(C3351:K3351)</f>
        <v>47.586000000000013</v>
      </c>
    </row>
    <row r="3352" spans="2:12" ht="16.5">
      <c r="B3352" s="660" t="s">
        <v>944</v>
      </c>
      <c r="C3352" s="19"/>
      <c r="D3352" s="19">
        <v>2.7</v>
      </c>
      <c r="E3352" s="236">
        <v>1</v>
      </c>
      <c r="F3352" s="48">
        <v>6</v>
      </c>
      <c r="G3352" s="57"/>
      <c r="H3352" s="21"/>
      <c r="I3352" s="55">
        <v>2</v>
      </c>
      <c r="J3352" s="46">
        <v>1.1000000000000001</v>
      </c>
      <c r="K3352" s="354">
        <v>2</v>
      </c>
      <c r="L3352" s="649">
        <f t="shared" si="229"/>
        <v>71.280000000000015</v>
      </c>
    </row>
    <row r="3353" spans="2:12" ht="16.5">
      <c r="B3353" s="814" t="s">
        <v>945</v>
      </c>
      <c r="C3353" s="19"/>
      <c r="D3353" s="19">
        <v>2.7</v>
      </c>
      <c r="E3353" s="236">
        <v>1</v>
      </c>
      <c r="F3353" s="48">
        <v>6</v>
      </c>
      <c r="G3353" s="57"/>
      <c r="H3353" s="21"/>
      <c r="I3353" s="55">
        <v>1</v>
      </c>
      <c r="J3353" s="46">
        <v>1.1000000000000001</v>
      </c>
      <c r="K3353" s="354">
        <v>2</v>
      </c>
      <c r="L3353" s="649">
        <f t="shared" si="229"/>
        <v>35.640000000000008</v>
      </c>
    </row>
    <row r="3354" spans="2:12" ht="16.5">
      <c r="B3354" s="814" t="s">
        <v>946</v>
      </c>
      <c r="C3354" s="19"/>
      <c r="D3354" s="19">
        <v>2.4</v>
      </c>
      <c r="E3354" s="236">
        <v>1</v>
      </c>
      <c r="F3354" s="48">
        <v>5.2</v>
      </c>
      <c r="G3354" s="57"/>
      <c r="H3354" s="21"/>
      <c r="I3354" s="55">
        <v>1</v>
      </c>
      <c r="J3354" s="46">
        <v>1.1000000000000001</v>
      </c>
      <c r="K3354" s="354">
        <v>2</v>
      </c>
      <c r="L3354" s="649">
        <f t="shared" si="229"/>
        <v>27.456000000000003</v>
      </c>
    </row>
    <row r="3355" spans="2:12" ht="15.75">
      <c r="B3355" s="662" t="s">
        <v>606</v>
      </c>
      <c r="C3355" s="19"/>
      <c r="D3355" s="19">
        <v>0.3</v>
      </c>
      <c r="E3355" s="48"/>
      <c r="F3355" s="47">
        <v>2.96</v>
      </c>
      <c r="G3355" s="57"/>
      <c r="H3355" s="21"/>
      <c r="I3355" s="55">
        <v>3</v>
      </c>
      <c r="J3355" s="56"/>
      <c r="K3355" s="354">
        <v>2</v>
      </c>
      <c r="L3355" s="649">
        <f t="shared" ref="L3355:L3362" si="230">PRODUCT(C3355:K3355)</f>
        <v>5.3280000000000003</v>
      </c>
    </row>
    <row r="3356" spans="2:12" ht="15.75">
      <c r="B3356" s="662" t="s">
        <v>607</v>
      </c>
      <c r="C3356" s="19"/>
      <c r="D3356" s="19">
        <v>0.3</v>
      </c>
      <c r="E3356" s="48"/>
      <c r="F3356" s="47">
        <v>3.56</v>
      </c>
      <c r="G3356" s="57"/>
      <c r="H3356" s="21"/>
      <c r="I3356" s="55">
        <v>1</v>
      </c>
      <c r="J3356" s="56"/>
      <c r="K3356" s="354">
        <v>2</v>
      </c>
      <c r="L3356" s="649">
        <f t="shared" si="230"/>
        <v>2.1360000000000001</v>
      </c>
    </row>
    <row r="3357" spans="2:12" ht="15.75">
      <c r="B3357" s="662" t="s">
        <v>608</v>
      </c>
      <c r="C3357" s="19"/>
      <c r="D3357" s="19">
        <v>0.3</v>
      </c>
      <c r="E3357" s="48"/>
      <c r="F3357" s="47">
        <v>1.68</v>
      </c>
      <c r="G3357" s="57"/>
      <c r="H3357" s="21"/>
      <c r="I3357" s="55">
        <v>1</v>
      </c>
      <c r="J3357" s="56"/>
      <c r="K3357" s="354">
        <v>2</v>
      </c>
      <c r="L3357" s="649">
        <f t="shared" si="230"/>
        <v>1.008</v>
      </c>
    </row>
    <row r="3358" spans="2:12" ht="15.75">
      <c r="B3358" s="662" t="s">
        <v>609</v>
      </c>
      <c r="C3358" s="19"/>
      <c r="D3358" s="19">
        <v>0.3</v>
      </c>
      <c r="E3358" s="48"/>
      <c r="F3358" s="47">
        <f>0.66+2.96</f>
        <v>3.62</v>
      </c>
      <c r="G3358" s="57"/>
      <c r="H3358" s="21"/>
      <c r="I3358" s="55">
        <v>1</v>
      </c>
      <c r="J3358" s="56"/>
      <c r="K3358" s="354">
        <v>2</v>
      </c>
      <c r="L3358" s="649">
        <f t="shared" si="230"/>
        <v>2.1720000000000002</v>
      </c>
    </row>
    <row r="3359" spans="2:12" ht="15.75">
      <c r="B3359" s="662" t="s">
        <v>610</v>
      </c>
      <c r="C3359" s="19"/>
      <c r="D3359" s="19">
        <v>0.3</v>
      </c>
      <c r="E3359" s="48"/>
      <c r="F3359" s="47">
        <f>3.99+3.76+3.16</f>
        <v>10.91</v>
      </c>
      <c r="G3359" s="57"/>
      <c r="H3359" s="21"/>
      <c r="I3359" s="55">
        <v>1</v>
      </c>
      <c r="J3359" s="56"/>
      <c r="K3359" s="354">
        <v>2</v>
      </c>
      <c r="L3359" s="649">
        <f t="shared" si="230"/>
        <v>6.5460000000000003</v>
      </c>
    </row>
    <row r="3360" spans="2:12" ht="15.75">
      <c r="B3360" s="662" t="s">
        <v>611</v>
      </c>
      <c r="C3360" s="19"/>
      <c r="D3360" s="19">
        <v>0.3</v>
      </c>
      <c r="E3360" s="48"/>
      <c r="F3360" s="47">
        <f>3.74+1.12</f>
        <v>4.8600000000000003</v>
      </c>
      <c r="G3360" s="57"/>
      <c r="H3360" s="21"/>
      <c r="I3360" s="55">
        <v>1</v>
      </c>
      <c r="J3360" s="56"/>
      <c r="K3360" s="354">
        <v>2</v>
      </c>
      <c r="L3360" s="649">
        <f t="shared" si="230"/>
        <v>2.9159999999999999</v>
      </c>
    </row>
    <row r="3361" spans="2:12" ht="15.75">
      <c r="B3361" s="662" t="s">
        <v>612</v>
      </c>
      <c r="C3361" s="19"/>
      <c r="D3361" s="19">
        <v>0.3</v>
      </c>
      <c r="E3361" s="48"/>
      <c r="F3361" s="47">
        <f>3.86+3.26</f>
        <v>7.1199999999999992</v>
      </c>
      <c r="G3361" s="57"/>
      <c r="H3361" s="21"/>
      <c r="I3361" s="55">
        <v>1</v>
      </c>
      <c r="J3361" s="56"/>
      <c r="K3361" s="354">
        <v>2</v>
      </c>
      <c r="L3361" s="649">
        <f t="shared" si="230"/>
        <v>4.2719999999999994</v>
      </c>
    </row>
    <row r="3362" spans="2:12" ht="15.75">
      <c r="B3362" s="662" t="s">
        <v>613</v>
      </c>
      <c r="C3362" s="19"/>
      <c r="D3362" s="19">
        <v>0.3</v>
      </c>
      <c r="E3362" s="48"/>
      <c r="F3362" s="47">
        <v>3.74</v>
      </c>
      <c r="G3362" s="57"/>
      <c r="H3362" s="21"/>
      <c r="I3362" s="55">
        <v>1</v>
      </c>
      <c r="J3362" s="56"/>
      <c r="K3362" s="354">
        <v>2</v>
      </c>
      <c r="L3362" s="649">
        <f t="shared" si="230"/>
        <v>2.2440000000000002</v>
      </c>
    </row>
    <row r="3363" spans="2:12" ht="15.75">
      <c r="B3363" s="658" t="s">
        <v>903</v>
      </c>
      <c r="C3363" s="19"/>
      <c r="D3363" s="19"/>
      <c r="E3363" s="48"/>
      <c r="F3363" s="47"/>
      <c r="G3363" s="57"/>
      <c r="H3363" s="21"/>
      <c r="I3363" s="55"/>
      <c r="J3363" s="56"/>
      <c r="K3363" s="5"/>
      <c r="L3363" s="649"/>
    </row>
    <row r="3364" spans="2:12" ht="16.5">
      <c r="B3364" s="813" t="s">
        <v>943</v>
      </c>
      <c r="C3364" s="19"/>
      <c r="D3364" s="19">
        <v>2.1</v>
      </c>
      <c r="E3364" s="236">
        <v>1</v>
      </c>
      <c r="F3364" s="48">
        <v>5.15</v>
      </c>
      <c r="G3364" s="57"/>
      <c r="H3364" s="21"/>
      <c r="I3364" s="55">
        <v>2</v>
      </c>
      <c r="J3364" s="46">
        <v>1.1000000000000001</v>
      </c>
      <c r="K3364" s="354">
        <v>4</v>
      </c>
      <c r="L3364" s="649">
        <f t="shared" ref="L3364:L3367" si="231">PRODUCT(C3364:K3364)</f>
        <v>95.172000000000025</v>
      </c>
    </row>
    <row r="3365" spans="2:12" ht="16.5">
      <c r="B3365" s="660" t="s">
        <v>944</v>
      </c>
      <c r="C3365" s="19"/>
      <c r="D3365" s="19">
        <v>2.7</v>
      </c>
      <c r="E3365" s="236">
        <v>1</v>
      </c>
      <c r="F3365" s="48">
        <v>6</v>
      </c>
      <c r="G3365" s="57"/>
      <c r="H3365" s="21"/>
      <c r="I3365" s="55">
        <v>2</v>
      </c>
      <c r="J3365" s="46">
        <v>1.1000000000000001</v>
      </c>
      <c r="K3365" s="354">
        <v>4</v>
      </c>
      <c r="L3365" s="649">
        <f t="shared" si="231"/>
        <v>142.56000000000003</v>
      </c>
    </row>
    <row r="3366" spans="2:12" ht="16.5">
      <c r="B3366" s="814" t="s">
        <v>945</v>
      </c>
      <c r="C3366" s="19"/>
      <c r="D3366" s="19">
        <v>2.7</v>
      </c>
      <c r="E3366" s="236">
        <v>1</v>
      </c>
      <c r="F3366" s="48">
        <v>6</v>
      </c>
      <c r="G3366" s="57"/>
      <c r="H3366" s="21"/>
      <c r="I3366" s="55">
        <v>1</v>
      </c>
      <c r="J3366" s="46">
        <v>1.1000000000000001</v>
      </c>
      <c r="K3366" s="354">
        <v>4</v>
      </c>
      <c r="L3366" s="649">
        <f t="shared" si="231"/>
        <v>71.280000000000015</v>
      </c>
    </row>
    <row r="3367" spans="2:12" ht="16.5">
      <c r="B3367" s="814" t="s">
        <v>946</v>
      </c>
      <c r="C3367" s="19"/>
      <c r="D3367" s="19">
        <v>2.4</v>
      </c>
      <c r="E3367" s="236">
        <v>1</v>
      </c>
      <c r="F3367" s="48">
        <v>5.2</v>
      </c>
      <c r="G3367" s="57"/>
      <c r="H3367" s="21"/>
      <c r="I3367" s="55">
        <v>1</v>
      </c>
      <c r="J3367" s="46">
        <v>1.1000000000000001</v>
      </c>
      <c r="K3367" s="354">
        <v>4</v>
      </c>
      <c r="L3367" s="649">
        <f t="shared" si="231"/>
        <v>54.912000000000006</v>
      </c>
    </row>
    <row r="3368" spans="2:12" ht="15.75">
      <c r="B3368" s="662" t="s">
        <v>606</v>
      </c>
      <c r="C3368" s="19"/>
      <c r="D3368" s="19">
        <v>0.3</v>
      </c>
      <c r="E3368" s="48"/>
      <c r="F3368" s="47">
        <v>2.96</v>
      </c>
      <c r="G3368" s="57"/>
      <c r="H3368" s="21"/>
      <c r="I3368" s="55">
        <v>3</v>
      </c>
      <c r="J3368" s="56"/>
      <c r="K3368" s="354">
        <v>4</v>
      </c>
      <c r="L3368" s="649">
        <f t="shared" ref="L3368:L3375" si="232">PRODUCT(C3368:K3368)</f>
        <v>10.656000000000001</v>
      </c>
    </row>
    <row r="3369" spans="2:12" ht="15.75">
      <c r="B3369" s="662" t="s">
        <v>607</v>
      </c>
      <c r="C3369" s="19"/>
      <c r="D3369" s="19">
        <v>0.3</v>
      </c>
      <c r="E3369" s="48"/>
      <c r="F3369" s="47">
        <v>3.56</v>
      </c>
      <c r="G3369" s="57"/>
      <c r="H3369" s="21"/>
      <c r="I3369" s="55">
        <v>1</v>
      </c>
      <c r="J3369" s="56"/>
      <c r="K3369" s="354">
        <v>4</v>
      </c>
      <c r="L3369" s="649">
        <f t="shared" si="232"/>
        <v>4.2720000000000002</v>
      </c>
    </row>
    <row r="3370" spans="2:12" ht="15.75">
      <c r="B3370" s="662" t="s">
        <v>608</v>
      </c>
      <c r="C3370" s="19"/>
      <c r="D3370" s="19">
        <v>0.3</v>
      </c>
      <c r="E3370" s="48"/>
      <c r="F3370" s="47">
        <v>1.68</v>
      </c>
      <c r="G3370" s="57"/>
      <c r="H3370" s="21"/>
      <c r="I3370" s="55">
        <v>1</v>
      </c>
      <c r="J3370" s="56"/>
      <c r="K3370" s="354">
        <v>4</v>
      </c>
      <c r="L3370" s="649">
        <f t="shared" si="232"/>
        <v>2.016</v>
      </c>
    </row>
    <row r="3371" spans="2:12" ht="15.75">
      <c r="B3371" s="662" t="s">
        <v>609</v>
      </c>
      <c r="C3371" s="19"/>
      <c r="D3371" s="19">
        <v>0.3</v>
      </c>
      <c r="E3371" s="48"/>
      <c r="F3371" s="47">
        <f>0.66+2.96</f>
        <v>3.62</v>
      </c>
      <c r="G3371" s="57"/>
      <c r="H3371" s="21"/>
      <c r="I3371" s="55">
        <v>1</v>
      </c>
      <c r="J3371" s="56"/>
      <c r="K3371" s="354">
        <v>4</v>
      </c>
      <c r="L3371" s="649">
        <f t="shared" si="232"/>
        <v>4.3440000000000003</v>
      </c>
    </row>
    <row r="3372" spans="2:12" ht="15.75">
      <c r="B3372" s="662" t="s">
        <v>610</v>
      </c>
      <c r="C3372" s="19"/>
      <c r="D3372" s="19">
        <v>0.3</v>
      </c>
      <c r="E3372" s="48"/>
      <c r="F3372" s="47">
        <f>3.99+3.76+3.16</f>
        <v>10.91</v>
      </c>
      <c r="G3372" s="57"/>
      <c r="H3372" s="21"/>
      <c r="I3372" s="55">
        <v>1</v>
      </c>
      <c r="J3372" s="56"/>
      <c r="K3372" s="354">
        <v>4</v>
      </c>
      <c r="L3372" s="649">
        <f t="shared" si="232"/>
        <v>13.092000000000001</v>
      </c>
    </row>
    <row r="3373" spans="2:12" ht="15.75">
      <c r="B3373" s="662" t="s">
        <v>611</v>
      </c>
      <c r="C3373" s="19"/>
      <c r="D3373" s="19">
        <v>0.3</v>
      </c>
      <c r="E3373" s="48"/>
      <c r="F3373" s="47">
        <f>3.74+1.12</f>
        <v>4.8600000000000003</v>
      </c>
      <c r="G3373" s="57"/>
      <c r="H3373" s="21"/>
      <c r="I3373" s="55">
        <v>1</v>
      </c>
      <c r="J3373" s="56"/>
      <c r="K3373" s="354">
        <v>4</v>
      </c>
      <c r="L3373" s="649">
        <f t="shared" si="232"/>
        <v>5.8319999999999999</v>
      </c>
    </row>
    <row r="3374" spans="2:12" ht="15.75">
      <c r="B3374" s="662" t="s">
        <v>612</v>
      </c>
      <c r="C3374" s="19"/>
      <c r="D3374" s="19">
        <v>0.3</v>
      </c>
      <c r="E3374" s="48"/>
      <c r="F3374" s="47">
        <f>3.86+3.26</f>
        <v>7.1199999999999992</v>
      </c>
      <c r="G3374" s="57"/>
      <c r="H3374" s="21"/>
      <c r="I3374" s="55">
        <v>1</v>
      </c>
      <c r="J3374" s="56"/>
      <c r="K3374" s="354">
        <v>4</v>
      </c>
      <c r="L3374" s="649">
        <f t="shared" si="232"/>
        <v>8.5439999999999987</v>
      </c>
    </row>
    <row r="3375" spans="2:12" ht="15.75">
      <c r="B3375" s="662" t="s">
        <v>613</v>
      </c>
      <c r="C3375" s="19"/>
      <c r="D3375" s="19">
        <v>0.3</v>
      </c>
      <c r="E3375" s="48"/>
      <c r="F3375" s="47">
        <v>3.74</v>
      </c>
      <c r="G3375" s="57"/>
      <c r="H3375" s="21"/>
      <c r="I3375" s="55">
        <v>1</v>
      </c>
      <c r="J3375" s="56"/>
      <c r="K3375" s="354">
        <v>4</v>
      </c>
      <c r="L3375" s="649">
        <f t="shared" si="232"/>
        <v>4.4880000000000004</v>
      </c>
    </row>
    <row r="3376" spans="2:12" ht="15.75">
      <c r="B3376" s="658" t="s">
        <v>905</v>
      </c>
      <c r="C3376" s="19"/>
      <c r="D3376" s="19"/>
      <c r="E3376" s="48"/>
      <c r="F3376" s="47"/>
      <c r="G3376" s="57"/>
      <c r="H3376" s="21"/>
      <c r="I3376" s="55"/>
      <c r="J3376" s="56"/>
      <c r="K3376" s="5"/>
      <c r="L3376" s="649"/>
    </row>
    <row r="3377" spans="2:12" ht="16.5">
      <c r="B3377" s="814" t="s">
        <v>945</v>
      </c>
      <c r="C3377" s="19"/>
      <c r="D3377" s="19">
        <v>2.7</v>
      </c>
      <c r="E3377" s="236">
        <v>1</v>
      </c>
      <c r="F3377" s="48">
        <v>6</v>
      </c>
      <c r="G3377" s="57"/>
      <c r="H3377" s="21"/>
      <c r="I3377" s="55">
        <v>2</v>
      </c>
      <c r="J3377" s="46">
        <v>1.1000000000000001</v>
      </c>
      <c r="K3377" s="354">
        <v>2</v>
      </c>
      <c r="L3377" s="649">
        <f t="shared" ref="L3377:L3378" si="233">PRODUCT(C3377:K3377)</f>
        <v>71.280000000000015</v>
      </c>
    </row>
    <row r="3378" spans="2:12" ht="16.5">
      <c r="B3378" s="814" t="s">
        <v>946</v>
      </c>
      <c r="C3378" s="19"/>
      <c r="D3378" s="19">
        <v>2.4</v>
      </c>
      <c r="E3378" s="236">
        <v>1</v>
      </c>
      <c r="F3378" s="48">
        <v>5.2</v>
      </c>
      <c r="G3378" s="57"/>
      <c r="H3378" s="21"/>
      <c r="I3378" s="55">
        <v>1</v>
      </c>
      <c r="J3378" s="46">
        <v>1.1000000000000001</v>
      </c>
      <c r="K3378" s="354">
        <v>2</v>
      </c>
      <c r="L3378" s="649">
        <f t="shared" si="233"/>
        <v>27.456000000000003</v>
      </c>
    </row>
    <row r="3379" spans="2:12" ht="15.75">
      <c r="B3379" s="662" t="s">
        <v>606</v>
      </c>
      <c r="C3379" s="19"/>
      <c r="D3379" s="19">
        <v>0.3</v>
      </c>
      <c r="E3379" s="48"/>
      <c r="F3379" s="47">
        <v>2.96</v>
      </c>
      <c r="G3379" s="57"/>
      <c r="H3379" s="21"/>
      <c r="I3379" s="55">
        <v>2</v>
      </c>
      <c r="J3379" s="56"/>
      <c r="K3379" s="354">
        <v>2</v>
      </c>
      <c r="L3379" s="649">
        <f t="shared" ref="L3379:L3390" si="234">PRODUCT(C3379:K3379)</f>
        <v>3.552</v>
      </c>
    </row>
    <row r="3380" spans="2:12" ht="15.75">
      <c r="B3380" s="662" t="s">
        <v>607</v>
      </c>
      <c r="C3380" s="19"/>
      <c r="D3380" s="19">
        <v>0.3</v>
      </c>
      <c r="E3380" s="48"/>
      <c r="F3380" s="47">
        <v>3.56</v>
      </c>
      <c r="G3380" s="57"/>
      <c r="H3380" s="21"/>
      <c r="I3380" s="55">
        <v>1</v>
      </c>
      <c r="J3380" s="56"/>
      <c r="K3380" s="354">
        <v>2</v>
      </c>
      <c r="L3380" s="649">
        <f t="shared" si="234"/>
        <v>2.1360000000000001</v>
      </c>
    </row>
    <row r="3381" spans="2:12" ht="15.75">
      <c r="B3381" s="662" t="s">
        <v>608</v>
      </c>
      <c r="C3381" s="19"/>
      <c r="D3381" s="19">
        <v>0.3</v>
      </c>
      <c r="E3381" s="48"/>
      <c r="F3381" s="47">
        <v>1.68</v>
      </c>
      <c r="G3381" s="57"/>
      <c r="H3381" s="21"/>
      <c r="I3381" s="55">
        <v>1</v>
      </c>
      <c r="J3381" s="56"/>
      <c r="K3381" s="354">
        <v>2</v>
      </c>
      <c r="L3381" s="649">
        <f t="shared" si="234"/>
        <v>1.008</v>
      </c>
    </row>
    <row r="3382" spans="2:12" ht="15.75">
      <c r="B3382" s="662" t="s">
        <v>609</v>
      </c>
      <c r="C3382" s="19"/>
      <c r="D3382" s="19">
        <v>0.3</v>
      </c>
      <c r="E3382" s="48"/>
      <c r="F3382" s="47">
        <f>0.66+2.96</f>
        <v>3.62</v>
      </c>
      <c r="G3382" s="57"/>
      <c r="H3382" s="21"/>
      <c r="I3382" s="55">
        <v>1</v>
      </c>
      <c r="J3382" s="56"/>
      <c r="K3382" s="354">
        <v>2</v>
      </c>
      <c r="L3382" s="649">
        <f t="shared" si="234"/>
        <v>2.1720000000000002</v>
      </c>
    </row>
    <row r="3383" spans="2:12" ht="15.75">
      <c r="B3383" s="662" t="s">
        <v>610</v>
      </c>
      <c r="C3383" s="19"/>
      <c r="D3383" s="19">
        <v>0.3</v>
      </c>
      <c r="E3383" s="48"/>
      <c r="F3383" s="47">
        <f>3.99+3.76</f>
        <v>7.75</v>
      </c>
      <c r="G3383" s="57"/>
      <c r="H3383" s="21"/>
      <c r="I3383" s="55">
        <v>1</v>
      </c>
      <c r="J3383" s="56"/>
      <c r="K3383" s="354">
        <v>2</v>
      </c>
      <c r="L3383" s="649">
        <f t="shared" si="234"/>
        <v>4.6499999999999995</v>
      </c>
    </row>
    <row r="3384" spans="2:12" ht="15.75">
      <c r="B3384" s="662" t="s">
        <v>611</v>
      </c>
      <c r="C3384" s="19"/>
      <c r="D3384" s="19">
        <v>0.3</v>
      </c>
      <c r="E3384" s="48"/>
      <c r="F3384" s="47">
        <f>3.74+1.12</f>
        <v>4.8600000000000003</v>
      </c>
      <c r="G3384" s="57"/>
      <c r="H3384" s="21"/>
      <c r="I3384" s="55">
        <v>1</v>
      </c>
      <c r="J3384" s="56"/>
      <c r="K3384" s="354">
        <v>2</v>
      </c>
      <c r="L3384" s="649">
        <f t="shared" si="234"/>
        <v>2.9159999999999999</v>
      </c>
    </row>
    <row r="3385" spans="2:12" ht="15.75">
      <c r="B3385" s="662" t="s">
        <v>612</v>
      </c>
      <c r="C3385" s="19"/>
      <c r="D3385" s="19">
        <v>0.3</v>
      </c>
      <c r="E3385" s="48"/>
      <c r="F3385" s="47">
        <f>3.86</f>
        <v>3.86</v>
      </c>
      <c r="G3385" s="57"/>
      <c r="H3385" s="21"/>
      <c r="I3385" s="55">
        <v>1</v>
      </c>
      <c r="J3385" s="56"/>
      <c r="K3385" s="354">
        <v>2</v>
      </c>
      <c r="L3385" s="649">
        <f t="shared" si="234"/>
        <v>2.3159999999999998</v>
      </c>
    </row>
    <row r="3386" spans="2:12" ht="15.75">
      <c r="B3386" s="662" t="s">
        <v>613</v>
      </c>
      <c r="C3386" s="19"/>
      <c r="D3386" s="19">
        <v>0.3</v>
      </c>
      <c r="E3386" s="48"/>
      <c r="F3386" s="47">
        <v>3.74</v>
      </c>
      <c r="G3386" s="57"/>
      <c r="H3386" s="21"/>
      <c r="I3386" s="55">
        <v>1</v>
      </c>
      <c r="J3386" s="56"/>
      <c r="K3386" s="354">
        <v>2</v>
      </c>
      <c r="L3386" s="649">
        <f t="shared" si="234"/>
        <v>2.2440000000000002</v>
      </c>
    </row>
    <row r="3387" spans="2:12" ht="15.75">
      <c r="B3387" s="662"/>
      <c r="C3387" s="19"/>
      <c r="D3387" s="19"/>
      <c r="E3387" s="48"/>
      <c r="F3387" s="47"/>
      <c r="G3387" s="57"/>
      <c r="H3387" s="21"/>
      <c r="I3387" s="55"/>
      <c r="J3387" s="56"/>
      <c r="K3387" s="354"/>
      <c r="L3387" s="649"/>
    </row>
    <row r="3388" spans="2:12" ht="15.75">
      <c r="B3388" s="662" t="s">
        <v>975</v>
      </c>
      <c r="C3388" s="19"/>
      <c r="D3388" s="19"/>
      <c r="E3388" s="48"/>
      <c r="F3388" s="47"/>
      <c r="G3388" s="57"/>
      <c r="H3388" s="21"/>
      <c r="I3388" s="55"/>
      <c r="J3388" s="56"/>
      <c r="K3388" s="354"/>
      <c r="L3388" s="649"/>
    </row>
    <row r="3389" spans="2:12" ht="16.5">
      <c r="B3389" s="662" t="s">
        <v>666</v>
      </c>
      <c r="C3389" s="269"/>
      <c r="D3389" s="42">
        <v>0.25</v>
      </c>
      <c r="E3389" s="42"/>
      <c r="F3389" s="43">
        <v>4.5</v>
      </c>
      <c r="G3389" s="270"/>
      <c r="H3389" s="271"/>
      <c r="I3389" s="35">
        <v>2</v>
      </c>
      <c r="J3389" s="22">
        <v>4</v>
      </c>
      <c r="K3389" s="17"/>
      <c r="L3389" s="649">
        <f t="shared" si="234"/>
        <v>9</v>
      </c>
    </row>
    <row r="3390" spans="2:12" ht="16.5">
      <c r="B3390" s="662" t="s">
        <v>667</v>
      </c>
      <c r="C3390" s="269"/>
      <c r="D3390" s="42">
        <v>0.25</v>
      </c>
      <c r="E3390" s="42"/>
      <c r="F3390" s="43">
        <v>3.5</v>
      </c>
      <c r="G3390" s="270"/>
      <c r="H3390" s="271"/>
      <c r="I3390" s="35">
        <v>2</v>
      </c>
      <c r="J3390" s="22">
        <v>4</v>
      </c>
      <c r="K3390" s="17"/>
      <c r="L3390" s="649">
        <f t="shared" si="234"/>
        <v>7</v>
      </c>
    </row>
    <row r="3391" spans="2:12" ht="15">
      <c r="B3391" s="740"/>
      <c r="C3391" s="19"/>
      <c r="D3391" s="20"/>
      <c r="E3391" s="20"/>
      <c r="F3391" s="47"/>
      <c r="G3391" s="57"/>
      <c r="H3391" s="21"/>
      <c r="I3391" s="55"/>
      <c r="J3391" s="56"/>
      <c r="K3391" s="17"/>
      <c r="L3391" s="649"/>
    </row>
    <row r="3392" spans="2:12" ht="16.5">
      <c r="B3392" s="731"/>
      <c r="C3392" s="19"/>
      <c r="D3392" s="20"/>
      <c r="E3392" s="20"/>
      <c r="F3392" s="47"/>
      <c r="G3392" s="20"/>
      <c r="H3392" s="21"/>
      <c r="I3392" s="41"/>
      <c r="J3392" s="46"/>
      <c r="K3392" s="17"/>
      <c r="L3392" s="649"/>
    </row>
    <row r="3393" spans="2:12">
      <c r="B3393" s="651"/>
      <c r="L3393" s="652"/>
    </row>
    <row r="3394" spans="2:12" ht="15.6" customHeight="1">
      <c r="B3394" s="638" t="s">
        <v>398</v>
      </c>
      <c r="C3394" s="8">
        <v>3</v>
      </c>
      <c r="D3394" s="1008" t="s">
        <v>1038</v>
      </c>
      <c r="E3394" s="1009"/>
      <c r="F3394" s="1009"/>
      <c r="G3394" s="1009"/>
      <c r="H3394" s="1009"/>
      <c r="I3394" s="1009"/>
      <c r="J3394" s="1009"/>
      <c r="K3394" s="1009"/>
      <c r="L3394" s="1010"/>
    </row>
    <row r="3395" spans="2:12" ht="15">
      <c r="B3395" s="1005"/>
      <c r="C3395" s="1006"/>
      <c r="D3395" s="1006"/>
      <c r="E3395" s="1006"/>
      <c r="F3395" s="1006"/>
      <c r="G3395" s="1006"/>
      <c r="H3395" s="1006"/>
      <c r="I3395" s="1006"/>
      <c r="J3395" s="1006"/>
      <c r="K3395" s="1006"/>
      <c r="L3395" s="1007"/>
    </row>
    <row r="3396" spans="2:12" ht="78.75">
      <c r="B3396" s="653" t="s">
        <v>399</v>
      </c>
      <c r="C3396" s="11">
        <f>+'PROPUESTA ECONOMICA(Proponente)'!C399</f>
        <v>3.4</v>
      </c>
      <c r="D3396" s="12" t="str">
        <f>+VLOOKUP('MEMORIAS DE CANTIDADES'!C3396,'PROPUESTA ECONOMICA(Proponente)'!$C$379:$H$661,5,FALSE)</f>
        <v>RELLENO SELECCIONADO: Relleno compactado para área cimentaciones, con material seleccionado, zahorra al 95% del proctor estándar en cimentación. (suministro, humedecimiento y compactación).</v>
      </c>
      <c r="E3396" s="13"/>
      <c r="F3396" s="12"/>
      <c r="G3396" s="12"/>
      <c r="H3396" s="12"/>
      <c r="I3396" s="11" t="s">
        <v>400</v>
      </c>
      <c r="J3396" s="12" t="str">
        <f>+VLOOKUP('MEMORIAS DE CANTIDADES'!C3396,'PROPUESTA ECONOMICA(Proponente)'!$C$379:$H$661,6,FALSE)</f>
        <v>M3</v>
      </c>
      <c r="K3396" s="11" t="s">
        <v>401</v>
      </c>
      <c r="L3396" s="643">
        <f>SUM(L3397:L3496)</f>
        <v>265.67428000000001</v>
      </c>
    </row>
    <row r="3397" spans="2:12" ht="15">
      <c r="B3397" s="644"/>
      <c r="C3397" s="16"/>
      <c r="D3397" s="15"/>
      <c r="E3397" s="15"/>
      <c r="F3397" s="15"/>
      <c r="G3397" s="15"/>
      <c r="H3397" s="15"/>
      <c r="I3397" s="15"/>
      <c r="J3397" s="15"/>
      <c r="K3397" s="17"/>
      <c r="L3397" s="645"/>
    </row>
    <row r="3398" spans="2:12" ht="47.25">
      <c r="B3398" s="646" t="s">
        <v>402</v>
      </c>
      <c r="C3398" s="18" t="s">
        <v>403</v>
      </c>
      <c r="D3398" s="18" t="s">
        <v>404</v>
      </c>
      <c r="E3398" s="18" t="s">
        <v>405</v>
      </c>
      <c r="F3398" s="18" t="s">
        <v>406</v>
      </c>
      <c r="G3398" s="18" t="s">
        <v>407</v>
      </c>
      <c r="H3398" s="5" t="s">
        <v>408</v>
      </c>
      <c r="I3398" s="18" t="s">
        <v>409</v>
      </c>
      <c r="J3398" s="5" t="s">
        <v>410</v>
      </c>
      <c r="K3398" s="5" t="s">
        <v>411</v>
      </c>
      <c r="L3398" s="647" t="s">
        <v>412</v>
      </c>
    </row>
    <row r="3399" spans="2:12" ht="16.5">
      <c r="B3399" s="658" t="s">
        <v>438</v>
      </c>
      <c r="C3399" s="18"/>
      <c r="D3399" s="18"/>
      <c r="E3399" s="18"/>
      <c r="G3399" s="18"/>
      <c r="H3399" s="5"/>
      <c r="I3399" s="41"/>
      <c r="J3399" s="46"/>
      <c r="K3399" s="5"/>
      <c r="L3399" s="656"/>
    </row>
    <row r="3400" spans="2:12" ht="16.5">
      <c r="B3400" s="708" t="s">
        <v>488</v>
      </c>
      <c r="C3400" s="48"/>
      <c r="D3400" s="48">
        <v>0.4</v>
      </c>
      <c r="E3400" s="48">
        <v>0.2</v>
      </c>
      <c r="F3400" s="45">
        <f>10.09*2+6.35*2+4.26*2+1.15*2</f>
        <v>43.699999999999989</v>
      </c>
      <c r="G3400" s="48"/>
      <c r="H3400" s="30"/>
      <c r="I3400" s="41"/>
      <c r="J3400" s="45">
        <v>1.1000000000000001</v>
      </c>
      <c r="K3400" s="30"/>
      <c r="L3400" s="656">
        <f>PRODUCT(C3400:K3400)</f>
        <v>3.8455999999999997</v>
      </c>
    </row>
    <row r="3401" spans="2:12" ht="16.5">
      <c r="B3401" s="708" t="s">
        <v>489</v>
      </c>
      <c r="C3401" s="48"/>
      <c r="D3401" s="48">
        <v>0.5</v>
      </c>
      <c r="E3401" s="48">
        <v>0.2</v>
      </c>
      <c r="F3401" s="45">
        <v>3.3</v>
      </c>
      <c r="G3401" s="48"/>
      <c r="H3401" s="30"/>
      <c r="I3401" s="41"/>
      <c r="J3401" s="45">
        <v>1.1000000000000001</v>
      </c>
      <c r="K3401" s="30"/>
      <c r="L3401" s="656">
        <f t="shared" ref="L3401:L3403" si="235">PRODUCT(C3401:K3401)</f>
        <v>0.36300000000000004</v>
      </c>
    </row>
    <row r="3402" spans="2:12" ht="16.5">
      <c r="B3402" s="708" t="s">
        <v>490</v>
      </c>
      <c r="C3402" s="48"/>
      <c r="D3402" s="48">
        <v>0.3</v>
      </c>
      <c r="E3402" s="48">
        <v>0.2</v>
      </c>
      <c r="F3402" s="45">
        <f>3.6*7</f>
        <v>25.2</v>
      </c>
      <c r="G3402" s="48"/>
      <c r="H3402" s="30"/>
      <c r="I3402" s="41"/>
      <c r="J3402" s="45">
        <v>1.1000000000000001</v>
      </c>
      <c r="K3402" s="30"/>
      <c r="L3402" s="656">
        <f t="shared" si="235"/>
        <v>1.6632000000000002</v>
      </c>
    </row>
    <row r="3403" spans="2:12" ht="16.5">
      <c r="B3403" s="708" t="s">
        <v>491</v>
      </c>
      <c r="C3403" s="48"/>
      <c r="D3403" s="48">
        <v>0.3</v>
      </c>
      <c r="E3403" s="48">
        <v>0.2</v>
      </c>
      <c r="F3403" s="45">
        <v>3.88</v>
      </c>
      <c r="G3403" s="48"/>
      <c r="H3403" s="30"/>
      <c r="I3403" s="41"/>
      <c r="J3403" s="45">
        <v>1.1000000000000001</v>
      </c>
      <c r="K3403" s="30"/>
      <c r="L3403" s="656">
        <f t="shared" si="235"/>
        <v>0.25607999999999997</v>
      </c>
    </row>
    <row r="3404" spans="2:12" ht="16.5">
      <c r="B3404" s="708"/>
      <c r="C3404" s="48"/>
      <c r="D3404" s="48"/>
      <c r="E3404" s="48"/>
      <c r="F3404" s="45"/>
      <c r="G3404" s="48"/>
      <c r="H3404" s="30"/>
      <c r="I3404" s="41"/>
      <c r="J3404" s="46"/>
      <c r="K3404" s="30"/>
      <c r="L3404" s="656"/>
    </row>
    <row r="3405" spans="2:12" ht="16.5">
      <c r="B3405" s="708"/>
      <c r="C3405" s="48"/>
      <c r="D3405" s="48"/>
      <c r="E3405" s="48"/>
      <c r="F3405" s="45"/>
      <c r="G3405" s="48"/>
      <c r="H3405" s="30"/>
      <c r="I3405" s="41"/>
      <c r="J3405" s="46"/>
      <c r="K3405" s="30"/>
      <c r="L3405" s="656"/>
    </row>
    <row r="3406" spans="2:12" ht="16.5">
      <c r="B3406" s="658" t="s">
        <v>464</v>
      </c>
      <c r="C3406" s="48"/>
      <c r="D3406" s="48"/>
      <c r="E3406" s="48"/>
      <c r="F3406" s="49"/>
      <c r="G3406" s="48"/>
      <c r="H3406" s="30"/>
      <c r="I3406" s="41"/>
      <c r="J3406" s="46"/>
      <c r="K3406" s="30"/>
      <c r="L3406" s="656"/>
    </row>
    <row r="3407" spans="2:12" ht="16.5">
      <c r="B3407" s="708" t="s">
        <v>492</v>
      </c>
      <c r="C3407" s="351"/>
      <c r="D3407" s="352">
        <v>0.3</v>
      </c>
      <c r="E3407" s="59">
        <v>0.2</v>
      </c>
      <c r="F3407" s="353">
        <f>5.05*2+4.8*2</f>
        <v>19.7</v>
      </c>
      <c r="G3407" s="351"/>
      <c r="H3407" s="354"/>
      <c r="I3407" s="53">
        <v>2</v>
      </c>
      <c r="J3407" s="355">
        <v>1.1000000000000001</v>
      </c>
      <c r="K3407" s="354"/>
      <c r="L3407" s="656">
        <f t="shared" ref="L3407:L3410" si="236">PRODUCT(C3407:K3407)</f>
        <v>2.6004</v>
      </c>
    </row>
    <row r="3408" spans="2:12" ht="16.5">
      <c r="B3408" s="708" t="s">
        <v>493</v>
      </c>
      <c r="C3408" s="351"/>
      <c r="D3408" s="352">
        <v>0.5</v>
      </c>
      <c r="E3408" s="59">
        <v>0.2</v>
      </c>
      <c r="F3408" s="353">
        <f>3.08*2</f>
        <v>6.16</v>
      </c>
      <c r="G3408" s="351"/>
      <c r="H3408" s="354"/>
      <c r="I3408" s="53">
        <v>2</v>
      </c>
      <c r="J3408" s="355">
        <v>1.1000000000000001</v>
      </c>
      <c r="K3408" s="354"/>
      <c r="L3408" s="656">
        <f t="shared" si="236"/>
        <v>1.3552000000000004</v>
      </c>
    </row>
    <row r="3409" spans="2:12" ht="16.5">
      <c r="B3409" s="708" t="s">
        <v>494</v>
      </c>
      <c r="C3409" s="351"/>
      <c r="D3409" s="352">
        <v>0.3</v>
      </c>
      <c r="E3409" s="59">
        <v>0.2</v>
      </c>
      <c r="F3409" s="353">
        <f>3.48*2</f>
        <v>6.96</v>
      </c>
      <c r="G3409" s="351"/>
      <c r="H3409" s="354"/>
      <c r="I3409" s="53">
        <v>2</v>
      </c>
      <c r="J3409" s="355">
        <v>1.1000000000000001</v>
      </c>
      <c r="K3409" s="354"/>
      <c r="L3409" s="656">
        <f t="shared" si="236"/>
        <v>0.91871999999999998</v>
      </c>
    </row>
    <row r="3410" spans="2:12" ht="16.5">
      <c r="B3410" s="708" t="s">
        <v>495</v>
      </c>
      <c r="C3410" s="351"/>
      <c r="D3410" s="352">
        <v>0.3</v>
      </c>
      <c r="E3410" s="59">
        <v>0.2</v>
      </c>
      <c r="F3410" s="353">
        <v>1.72</v>
      </c>
      <c r="G3410" s="351"/>
      <c r="H3410" s="354"/>
      <c r="I3410" s="53">
        <v>2</v>
      </c>
      <c r="J3410" s="355">
        <v>1.1000000000000001</v>
      </c>
      <c r="K3410" s="354"/>
      <c r="L3410" s="656">
        <f t="shared" si="236"/>
        <v>0.22704000000000002</v>
      </c>
    </row>
    <row r="3411" spans="2:12" ht="16.5">
      <c r="B3411" s="708"/>
      <c r="C3411" s="351"/>
      <c r="D3411" s="352"/>
      <c r="E3411" s="59"/>
      <c r="F3411" s="353"/>
      <c r="G3411" s="351"/>
      <c r="H3411" s="354"/>
      <c r="I3411" s="53"/>
      <c r="J3411" s="355"/>
      <c r="K3411" s="354"/>
      <c r="L3411" s="656"/>
    </row>
    <row r="3412" spans="2:12" ht="15.75">
      <c r="B3412" s="658" t="s">
        <v>889</v>
      </c>
      <c r="C3412" s="269"/>
      <c r="D3412" s="269"/>
      <c r="E3412" s="48"/>
      <c r="F3412" s="347"/>
      <c r="G3412" s="348"/>
      <c r="H3412" s="271"/>
      <c r="I3412" s="55"/>
      <c r="J3412" s="56"/>
      <c r="K3412" s="5"/>
      <c r="L3412" s="656"/>
    </row>
    <row r="3413" spans="2:12" ht="15.75">
      <c r="B3413" s="813" t="s">
        <v>599</v>
      </c>
      <c r="C3413" s="269"/>
      <c r="D3413" s="269">
        <v>1.4</v>
      </c>
      <c r="E3413" s="236">
        <v>0.35</v>
      </c>
      <c r="F3413" s="48">
        <v>1.4</v>
      </c>
      <c r="G3413" s="348"/>
      <c r="H3413" s="271"/>
      <c r="I3413" s="55">
        <v>2</v>
      </c>
      <c r="J3413" s="56">
        <v>1.1000000000000001</v>
      </c>
      <c r="K3413" s="354">
        <v>2</v>
      </c>
      <c r="L3413" s="656">
        <f t="shared" ref="L3413:L3425" si="237">PRODUCT(C3413:K3413)</f>
        <v>3.0183999999999993</v>
      </c>
    </row>
    <row r="3414" spans="2:12" ht="15.75">
      <c r="B3414" s="660" t="s">
        <v>600</v>
      </c>
      <c r="C3414" s="269"/>
      <c r="D3414" s="269">
        <v>1.1000000000000001</v>
      </c>
      <c r="E3414" s="236">
        <v>0.35</v>
      </c>
      <c r="F3414" s="48">
        <v>1.4</v>
      </c>
      <c r="G3414" s="348"/>
      <c r="H3414" s="271"/>
      <c r="I3414" s="55">
        <v>2</v>
      </c>
      <c r="J3414" s="56">
        <v>1.1000000000000001</v>
      </c>
      <c r="K3414" s="354">
        <v>2</v>
      </c>
      <c r="L3414" s="656">
        <f t="shared" si="237"/>
        <v>2.3715999999999999</v>
      </c>
    </row>
    <row r="3415" spans="2:12" ht="15.75">
      <c r="B3415" s="814" t="s">
        <v>601</v>
      </c>
      <c r="C3415" s="269"/>
      <c r="D3415" s="269">
        <v>1.2</v>
      </c>
      <c r="E3415" s="236">
        <v>0.35</v>
      </c>
      <c r="F3415" s="48">
        <v>1.2</v>
      </c>
      <c r="G3415" s="348"/>
      <c r="H3415" s="271"/>
      <c r="I3415" s="55">
        <v>1</v>
      </c>
      <c r="J3415" s="56">
        <v>1.1000000000000001</v>
      </c>
      <c r="K3415" s="354">
        <v>2</v>
      </c>
      <c r="L3415" s="656">
        <f t="shared" si="237"/>
        <v>1.1088</v>
      </c>
    </row>
    <row r="3416" spans="2:12" ht="15.75">
      <c r="B3416" s="814" t="s">
        <v>715</v>
      </c>
      <c r="C3416" s="269"/>
      <c r="D3416" s="269">
        <v>1.2</v>
      </c>
      <c r="E3416" s="236">
        <v>0.35</v>
      </c>
      <c r="F3416" s="48">
        <v>1.7</v>
      </c>
      <c r="G3416" s="348"/>
      <c r="H3416" s="271"/>
      <c r="I3416" s="55">
        <v>1</v>
      </c>
      <c r="J3416" s="56">
        <v>1.1000000000000001</v>
      </c>
      <c r="K3416" s="354">
        <v>2</v>
      </c>
      <c r="L3416" s="656">
        <f t="shared" si="237"/>
        <v>1.5708</v>
      </c>
    </row>
    <row r="3417" spans="2:12" ht="15.75">
      <c r="B3417" s="814" t="s">
        <v>716</v>
      </c>
      <c r="C3417" s="269"/>
      <c r="D3417" s="269">
        <v>1.7</v>
      </c>
      <c r="E3417" s="236">
        <v>0.35</v>
      </c>
      <c r="F3417" s="48">
        <v>1.7</v>
      </c>
      <c r="G3417" s="348"/>
      <c r="H3417" s="271"/>
      <c r="I3417" s="55">
        <v>2</v>
      </c>
      <c r="J3417" s="56">
        <v>1.1000000000000001</v>
      </c>
      <c r="K3417" s="354">
        <v>2</v>
      </c>
      <c r="L3417" s="656">
        <f t="shared" si="237"/>
        <v>4.4505999999999997</v>
      </c>
    </row>
    <row r="3418" spans="2:12" ht="16.5">
      <c r="B3418" s="799" t="s">
        <v>614</v>
      </c>
      <c r="C3418" s="269"/>
      <c r="D3418" s="269">
        <v>0.3</v>
      </c>
      <c r="E3418" s="236">
        <v>0.35</v>
      </c>
      <c r="F3418" s="347">
        <f>2.7+0.66</f>
        <v>3.3600000000000003</v>
      </c>
      <c r="G3418" s="348"/>
      <c r="H3418" s="271"/>
      <c r="I3418" s="55">
        <v>1</v>
      </c>
      <c r="J3418" s="56">
        <v>1.1000000000000001</v>
      </c>
      <c r="K3418" s="354">
        <v>2</v>
      </c>
      <c r="L3418" s="656">
        <f t="shared" si="237"/>
        <v>0.77616000000000007</v>
      </c>
    </row>
    <row r="3419" spans="2:12" ht="16.5">
      <c r="B3419" s="799" t="s">
        <v>615</v>
      </c>
      <c r="C3419" s="269"/>
      <c r="D3419" s="269">
        <v>0.3</v>
      </c>
      <c r="E3419" s="236">
        <v>0.35</v>
      </c>
      <c r="F3419" s="347">
        <v>1.66</v>
      </c>
      <c r="G3419" s="348"/>
      <c r="H3419" s="271"/>
      <c r="I3419" s="55">
        <v>1</v>
      </c>
      <c r="J3419" s="56">
        <v>1.1000000000000001</v>
      </c>
      <c r="K3419" s="354">
        <v>2</v>
      </c>
      <c r="L3419" s="656">
        <f t="shared" si="237"/>
        <v>0.38345999999999997</v>
      </c>
    </row>
    <row r="3420" spans="2:12" ht="16.5">
      <c r="B3420" s="799" t="s">
        <v>616</v>
      </c>
      <c r="C3420" s="269"/>
      <c r="D3420" s="269">
        <v>0.3</v>
      </c>
      <c r="E3420" s="236">
        <v>0.35</v>
      </c>
      <c r="F3420" s="347">
        <f>1.62+1.65</f>
        <v>3.27</v>
      </c>
      <c r="G3420" s="348"/>
      <c r="H3420" s="271"/>
      <c r="I3420" s="55">
        <v>3</v>
      </c>
      <c r="J3420" s="56">
        <v>1.1000000000000001</v>
      </c>
      <c r="K3420" s="354">
        <v>2</v>
      </c>
      <c r="L3420" s="656">
        <f t="shared" si="237"/>
        <v>2.2661099999999998</v>
      </c>
    </row>
    <row r="3421" spans="2:12" ht="16.5">
      <c r="B3421" s="799" t="s">
        <v>617</v>
      </c>
      <c r="C3421" s="269"/>
      <c r="D3421" s="269">
        <v>0.3</v>
      </c>
      <c r="E3421" s="236">
        <v>0.35</v>
      </c>
      <c r="F3421" s="347">
        <v>2.96</v>
      </c>
      <c r="G3421" s="348"/>
      <c r="H3421" s="271"/>
      <c r="I3421" s="55">
        <v>2</v>
      </c>
      <c r="J3421" s="56">
        <v>1.1000000000000001</v>
      </c>
      <c r="K3421" s="354">
        <v>2</v>
      </c>
      <c r="L3421" s="656">
        <f t="shared" si="237"/>
        <v>1.3675199999999998</v>
      </c>
    </row>
    <row r="3422" spans="2:12" ht="16.5">
      <c r="B3422" s="799" t="s">
        <v>618</v>
      </c>
      <c r="C3422" s="269"/>
      <c r="D3422" s="269">
        <v>0.3</v>
      </c>
      <c r="E3422" s="236">
        <v>0.35</v>
      </c>
      <c r="F3422" s="347">
        <f>3.69+3.39+3.52</f>
        <v>10.6</v>
      </c>
      <c r="G3422" s="348"/>
      <c r="H3422" s="271"/>
      <c r="I3422" s="55">
        <v>1</v>
      </c>
      <c r="J3422" s="56">
        <v>1.1000000000000001</v>
      </c>
      <c r="K3422" s="354">
        <v>2</v>
      </c>
      <c r="L3422" s="656">
        <f t="shared" si="237"/>
        <v>2.4486000000000003</v>
      </c>
    </row>
    <row r="3423" spans="2:12" ht="16.5">
      <c r="B3423" s="799" t="s">
        <v>619</v>
      </c>
      <c r="C3423" s="269"/>
      <c r="D3423" s="269">
        <v>0.3</v>
      </c>
      <c r="E3423" s="236">
        <v>0.35</v>
      </c>
      <c r="F3423" s="347">
        <v>5.15</v>
      </c>
      <c r="G3423" s="348"/>
      <c r="H3423" s="271"/>
      <c r="I3423" s="55">
        <v>1</v>
      </c>
      <c r="J3423" s="56">
        <v>1.1000000000000001</v>
      </c>
      <c r="K3423" s="354">
        <v>2</v>
      </c>
      <c r="L3423" s="656">
        <f t="shared" si="237"/>
        <v>1.1896500000000003</v>
      </c>
    </row>
    <row r="3424" spans="2:12" ht="16.5">
      <c r="B3424" s="799" t="s">
        <v>620</v>
      </c>
      <c r="C3424" s="269"/>
      <c r="D3424" s="269">
        <v>0.3</v>
      </c>
      <c r="E3424" s="236">
        <v>0.35</v>
      </c>
      <c r="F3424" s="347">
        <v>3.62</v>
      </c>
      <c r="G3424" s="348"/>
      <c r="H3424" s="271"/>
      <c r="I3424" s="55">
        <v>1</v>
      </c>
      <c r="J3424" s="56">
        <v>1.1000000000000001</v>
      </c>
      <c r="K3424" s="354">
        <v>2</v>
      </c>
      <c r="L3424" s="656">
        <f t="shared" si="237"/>
        <v>0.83622000000000007</v>
      </c>
    </row>
    <row r="3425" spans="2:12" ht="16.5">
      <c r="B3425" s="799" t="s">
        <v>621</v>
      </c>
      <c r="C3425" s="269"/>
      <c r="D3425" s="269">
        <v>0.3</v>
      </c>
      <c r="E3425" s="236">
        <v>0.35</v>
      </c>
      <c r="F3425" s="347">
        <f>3.64+3.49</f>
        <v>7.1300000000000008</v>
      </c>
      <c r="G3425" s="348"/>
      <c r="H3425" s="271"/>
      <c r="I3425" s="55">
        <v>1</v>
      </c>
      <c r="J3425" s="56">
        <v>1.1000000000000001</v>
      </c>
      <c r="K3425" s="354">
        <v>2</v>
      </c>
      <c r="L3425" s="656">
        <f t="shared" si="237"/>
        <v>1.6470300000000002</v>
      </c>
    </row>
    <row r="3426" spans="2:12" ht="15.75">
      <c r="B3426" s="658" t="s">
        <v>903</v>
      </c>
      <c r="C3426" s="269"/>
      <c r="D3426" s="269"/>
      <c r="E3426" s="48"/>
      <c r="F3426" s="347"/>
      <c r="G3426" s="348"/>
      <c r="H3426" s="271"/>
      <c r="I3426" s="55"/>
      <c r="J3426" s="56"/>
      <c r="K3426" s="5"/>
      <c r="L3426" s="656"/>
    </row>
    <row r="3427" spans="2:12" ht="15.75">
      <c r="B3427" s="813" t="s">
        <v>599</v>
      </c>
      <c r="C3427" s="269"/>
      <c r="D3427" s="269">
        <v>1.4</v>
      </c>
      <c r="E3427" s="236">
        <v>0.35</v>
      </c>
      <c r="F3427" s="48">
        <v>1.4</v>
      </c>
      <c r="G3427" s="348"/>
      <c r="H3427" s="271"/>
      <c r="I3427" s="55">
        <v>2</v>
      </c>
      <c r="J3427" s="56">
        <v>1.1000000000000001</v>
      </c>
      <c r="K3427" s="354">
        <v>4</v>
      </c>
      <c r="L3427" s="656">
        <f t="shared" ref="L3427:L3439" si="238">PRODUCT(C3427:K3427)</f>
        <v>6.0367999999999986</v>
      </c>
    </row>
    <row r="3428" spans="2:12" ht="15.75">
      <c r="B3428" s="660" t="s">
        <v>600</v>
      </c>
      <c r="C3428" s="269"/>
      <c r="D3428" s="269">
        <v>1.1000000000000001</v>
      </c>
      <c r="E3428" s="236">
        <v>0.35</v>
      </c>
      <c r="F3428" s="48">
        <v>1.4</v>
      </c>
      <c r="G3428" s="348"/>
      <c r="H3428" s="271"/>
      <c r="I3428" s="55">
        <v>2</v>
      </c>
      <c r="J3428" s="56">
        <v>1.1000000000000001</v>
      </c>
      <c r="K3428" s="354">
        <v>4</v>
      </c>
      <c r="L3428" s="656">
        <f t="shared" si="238"/>
        <v>4.7431999999999999</v>
      </c>
    </row>
    <row r="3429" spans="2:12" ht="15.75">
      <c r="B3429" s="814" t="s">
        <v>601</v>
      </c>
      <c r="C3429" s="269"/>
      <c r="D3429" s="269">
        <v>1.2</v>
      </c>
      <c r="E3429" s="236">
        <v>0.35</v>
      </c>
      <c r="F3429" s="48">
        <v>1.2</v>
      </c>
      <c r="G3429" s="348"/>
      <c r="H3429" s="271"/>
      <c r="I3429" s="55">
        <v>1</v>
      </c>
      <c r="J3429" s="56">
        <v>1.1000000000000001</v>
      </c>
      <c r="K3429" s="354">
        <v>4</v>
      </c>
      <c r="L3429" s="656">
        <f t="shared" si="238"/>
        <v>2.2176</v>
      </c>
    </row>
    <row r="3430" spans="2:12" ht="15.75">
      <c r="B3430" s="814" t="s">
        <v>715</v>
      </c>
      <c r="C3430" s="269"/>
      <c r="D3430" s="269">
        <v>1.2</v>
      </c>
      <c r="E3430" s="236">
        <v>0.35</v>
      </c>
      <c r="F3430" s="48">
        <v>1.7</v>
      </c>
      <c r="G3430" s="348"/>
      <c r="H3430" s="271"/>
      <c r="I3430" s="55">
        <v>1</v>
      </c>
      <c r="J3430" s="56">
        <v>1.1000000000000001</v>
      </c>
      <c r="K3430" s="354">
        <v>4</v>
      </c>
      <c r="L3430" s="656">
        <f t="shared" si="238"/>
        <v>3.1415999999999999</v>
      </c>
    </row>
    <row r="3431" spans="2:12" ht="15.75">
      <c r="B3431" s="814" t="s">
        <v>716</v>
      </c>
      <c r="C3431" s="269"/>
      <c r="D3431" s="269">
        <v>1.7</v>
      </c>
      <c r="E3431" s="236">
        <v>0.35</v>
      </c>
      <c r="F3431" s="48">
        <v>1.7</v>
      </c>
      <c r="G3431" s="348"/>
      <c r="H3431" s="271"/>
      <c r="I3431" s="55">
        <v>2</v>
      </c>
      <c r="J3431" s="56">
        <v>1.1000000000000001</v>
      </c>
      <c r="K3431" s="354">
        <v>4</v>
      </c>
      <c r="L3431" s="656">
        <f t="shared" si="238"/>
        <v>8.9011999999999993</v>
      </c>
    </row>
    <row r="3432" spans="2:12" ht="15.75">
      <c r="B3432" s="662" t="s">
        <v>606</v>
      </c>
      <c r="C3432" s="269"/>
      <c r="D3432" s="269">
        <v>0.3</v>
      </c>
      <c r="E3432" s="236">
        <v>0.35</v>
      </c>
      <c r="F3432" s="347">
        <v>2.96</v>
      </c>
      <c r="G3432" s="348"/>
      <c r="H3432" s="271"/>
      <c r="I3432" s="55">
        <v>3</v>
      </c>
      <c r="J3432" s="56">
        <v>1.1000000000000001</v>
      </c>
      <c r="K3432" s="354">
        <v>4</v>
      </c>
      <c r="L3432" s="656">
        <f t="shared" si="238"/>
        <v>4.1025599999999995</v>
      </c>
    </row>
    <row r="3433" spans="2:12" ht="15.75">
      <c r="B3433" s="662" t="s">
        <v>607</v>
      </c>
      <c r="C3433" s="269"/>
      <c r="D3433" s="269">
        <v>0.3</v>
      </c>
      <c r="E3433" s="236">
        <v>0.35</v>
      </c>
      <c r="F3433" s="347">
        <v>3.56</v>
      </c>
      <c r="G3433" s="348"/>
      <c r="H3433" s="271"/>
      <c r="I3433" s="55">
        <v>1</v>
      </c>
      <c r="J3433" s="56">
        <v>1.1000000000000001</v>
      </c>
      <c r="K3433" s="354">
        <v>4</v>
      </c>
      <c r="L3433" s="656">
        <f t="shared" si="238"/>
        <v>1.64472</v>
      </c>
    </row>
    <row r="3434" spans="2:12" ht="15.75">
      <c r="B3434" s="662" t="s">
        <v>608</v>
      </c>
      <c r="C3434" s="269"/>
      <c r="D3434" s="269">
        <v>0.3</v>
      </c>
      <c r="E3434" s="236">
        <v>0.35</v>
      </c>
      <c r="F3434" s="347">
        <v>1.68</v>
      </c>
      <c r="G3434" s="348"/>
      <c r="H3434" s="271"/>
      <c r="I3434" s="55">
        <v>1</v>
      </c>
      <c r="J3434" s="56">
        <v>1.1000000000000001</v>
      </c>
      <c r="K3434" s="354">
        <v>4</v>
      </c>
      <c r="L3434" s="656">
        <f t="shared" si="238"/>
        <v>0.77615999999999996</v>
      </c>
    </row>
    <row r="3435" spans="2:12" ht="15.75">
      <c r="B3435" s="662" t="s">
        <v>609</v>
      </c>
      <c r="C3435" s="269"/>
      <c r="D3435" s="269">
        <v>0.3</v>
      </c>
      <c r="E3435" s="236">
        <v>0.35</v>
      </c>
      <c r="F3435" s="347">
        <f>0.66+2.96</f>
        <v>3.62</v>
      </c>
      <c r="G3435" s="348"/>
      <c r="H3435" s="271"/>
      <c r="I3435" s="55">
        <v>1</v>
      </c>
      <c r="J3435" s="56">
        <v>1.1000000000000001</v>
      </c>
      <c r="K3435" s="354">
        <v>4</v>
      </c>
      <c r="L3435" s="656">
        <f t="shared" si="238"/>
        <v>1.6724400000000001</v>
      </c>
    </row>
    <row r="3436" spans="2:12" ht="15.75">
      <c r="B3436" s="662" t="s">
        <v>610</v>
      </c>
      <c r="C3436" s="269"/>
      <c r="D3436" s="269">
        <v>0.3</v>
      </c>
      <c r="E3436" s="236">
        <v>0.35</v>
      </c>
      <c r="F3436" s="347">
        <f>3.99+3.76+3.16</f>
        <v>10.91</v>
      </c>
      <c r="G3436" s="348"/>
      <c r="H3436" s="271"/>
      <c r="I3436" s="55">
        <v>1</v>
      </c>
      <c r="J3436" s="56">
        <v>1.1000000000000001</v>
      </c>
      <c r="K3436" s="354">
        <v>4</v>
      </c>
      <c r="L3436" s="656">
        <f t="shared" si="238"/>
        <v>5.040420000000001</v>
      </c>
    </row>
    <row r="3437" spans="2:12" ht="15.75">
      <c r="B3437" s="662" t="s">
        <v>611</v>
      </c>
      <c r="C3437" s="269"/>
      <c r="D3437" s="269">
        <v>0.3</v>
      </c>
      <c r="E3437" s="236">
        <v>0.35</v>
      </c>
      <c r="F3437" s="347">
        <f>3.74+1.12</f>
        <v>4.8600000000000003</v>
      </c>
      <c r="G3437" s="348"/>
      <c r="H3437" s="271"/>
      <c r="I3437" s="55">
        <v>1</v>
      </c>
      <c r="J3437" s="56">
        <v>1.1000000000000001</v>
      </c>
      <c r="K3437" s="354">
        <v>4</v>
      </c>
      <c r="L3437" s="656">
        <f t="shared" si="238"/>
        <v>2.24532</v>
      </c>
    </row>
    <row r="3438" spans="2:12" ht="15.75">
      <c r="B3438" s="662" t="s">
        <v>612</v>
      </c>
      <c r="C3438" s="269"/>
      <c r="D3438" s="269">
        <v>0.3</v>
      </c>
      <c r="E3438" s="236">
        <v>0.35</v>
      </c>
      <c r="F3438" s="347">
        <f>3.86+3.26</f>
        <v>7.1199999999999992</v>
      </c>
      <c r="G3438" s="348"/>
      <c r="H3438" s="271"/>
      <c r="I3438" s="55">
        <v>1</v>
      </c>
      <c r="J3438" s="56">
        <v>1.1000000000000001</v>
      </c>
      <c r="K3438" s="354">
        <v>4</v>
      </c>
      <c r="L3438" s="656">
        <f t="shared" si="238"/>
        <v>3.2894399999999999</v>
      </c>
    </row>
    <row r="3439" spans="2:12" ht="15.75">
      <c r="B3439" s="662" t="s">
        <v>613</v>
      </c>
      <c r="C3439" s="269"/>
      <c r="D3439" s="269">
        <v>0.3</v>
      </c>
      <c r="E3439" s="236">
        <v>0.35</v>
      </c>
      <c r="F3439" s="347">
        <v>3.74</v>
      </c>
      <c r="G3439" s="348"/>
      <c r="H3439" s="271"/>
      <c r="I3439" s="55">
        <v>1</v>
      </c>
      <c r="J3439" s="56">
        <v>1.1000000000000001</v>
      </c>
      <c r="K3439" s="354">
        <v>4</v>
      </c>
      <c r="L3439" s="656">
        <f t="shared" si="238"/>
        <v>1.7278800000000001</v>
      </c>
    </row>
    <row r="3440" spans="2:12" ht="15.75">
      <c r="B3440" s="690"/>
      <c r="C3440" s="269"/>
      <c r="D3440" s="269"/>
      <c r="E3440" s="236"/>
      <c r="F3440" s="347"/>
      <c r="G3440" s="348"/>
      <c r="H3440" s="271"/>
      <c r="I3440" s="55"/>
      <c r="J3440" s="56"/>
      <c r="K3440" s="354"/>
      <c r="L3440" s="656"/>
    </row>
    <row r="3441" spans="2:12" ht="15.75">
      <c r="B3441" s="658" t="s">
        <v>906</v>
      </c>
      <c r="C3441" s="269"/>
      <c r="D3441" s="269"/>
      <c r="E3441" s="48"/>
      <c r="F3441" s="347"/>
      <c r="G3441" s="348"/>
      <c r="H3441" s="271"/>
      <c r="I3441" s="55"/>
      <c r="J3441" s="56"/>
      <c r="K3441" s="5"/>
      <c r="L3441" s="656"/>
    </row>
    <row r="3442" spans="2:12" ht="15.75">
      <c r="B3442" s="813" t="s">
        <v>599</v>
      </c>
      <c r="C3442" s="269"/>
      <c r="D3442" s="269">
        <v>1.4</v>
      </c>
      <c r="E3442" s="236">
        <v>0.35</v>
      </c>
      <c r="F3442" s="48">
        <v>1.4</v>
      </c>
      <c r="G3442" s="348"/>
      <c r="H3442" s="271"/>
      <c r="I3442" s="55">
        <v>2</v>
      </c>
      <c r="J3442" s="56">
        <v>1.1000000000000001</v>
      </c>
      <c r="K3442" s="354">
        <v>2</v>
      </c>
      <c r="L3442" s="656">
        <f t="shared" ref="L3442:L3453" si="239">PRODUCT(C3442:K3442)</f>
        <v>3.0183999999999993</v>
      </c>
    </row>
    <row r="3443" spans="2:12" ht="15.75">
      <c r="B3443" s="660" t="s">
        <v>600</v>
      </c>
      <c r="C3443" s="269"/>
      <c r="D3443" s="269">
        <v>1.1000000000000001</v>
      </c>
      <c r="E3443" s="236">
        <v>0.35</v>
      </c>
      <c r="F3443" s="48">
        <v>1.4</v>
      </c>
      <c r="G3443" s="348"/>
      <c r="H3443" s="271"/>
      <c r="I3443" s="55">
        <v>1</v>
      </c>
      <c r="J3443" s="56">
        <v>1.1000000000000001</v>
      </c>
      <c r="K3443" s="354">
        <v>2</v>
      </c>
      <c r="L3443" s="656">
        <f t="shared" si="239"/>
        <v>1.1858</v>
      </c>
    </row>
    <row r="3444" spans="2:12" ht="15.75">
      <c r="B3444" s="814" t="s">
        <v>715</v>
      </c>
      <c r="C3444" s="269"/>
      <c r="D3444" s="269">
        <v>1.2</v>
      </c>
      <c r="E3444" s="236">
        <v>0.35</v>
      </c>
      <c r="F3444" s="48">
        <v>1.7</v>
      </c>
      <c r="G3444" s="348"/>
      <c r="H3444" s="271"/>
      <c r="I3444" s="55">
        <v>1</v>
      </c>
      <c r="J3444" s="56">
        <v>1.1000000000000001</v>
      </c>
      <c r="K3444" s="354">
        <v>2</v>
      </c>
      <c r="L3444" s="656">
        <f t="shared" si="239"/>
        <v>1.5708</v>
      </c>
    </row>
    <row r="3445" spans="2:12" ht="15.75">
      <c r="B3445" s="814" t="s">
        <v>716</v>
      </c>
      <c r="C3445" s="269"/>
      <c r="D3445" s="269">
        <v>1.7</v>
      </c>
      <c r="E3445" s="236">
        <v>0.35</v>
      </c>
      <c r="F3445" s="48">
        <v>1.7</v>
      </c>
      <c r="G3445" s="348"/>
      <c r="H3445" s="271"/>
      <c r="I3445" s="55">
        <v>2</v>
      </c>
      <c r="J3445" s="56">
        <v>1.1000000000000001</v>
      </c>
      <c r="K3445" s="354">
        <v>2</v>
      </c>
      <c r="L3445" s="656">
        <f t="shared" si="239"/>
        <v>4.4505999999999997</v>
      </c>
    </row>
    <row r="3446" spans="2:12" ht="15.75">
      <c r="B3446" s="662" t="s">
        <v>606</v>
      </c>
      <c r="C3446" s="269"/>
      <c r="D3446" s="269">
        <v>0.3</v>
      </c>
      <c r="E3446" s="236">
        <v>0.35</v>
      </c>
      <c r="F3446" s="347">
        <v>2.96</v>
      </c>
      <c r="G3446" s="348"/>
      <c r="H3446" s="271"/>
      <c r="I3446" s="55">
        <v>2</v>
      </c>
      <c r="J3446" s="56">
        <v>1.1000000000000001</v>
      </c>
      <c r="K3446" s="354">
        <v>2</v>
      </c>
      <c r="L3446" s="656">
        <f t="shared" si="239"/>
        <v>1.3675199999999998</v>
      </c>
    </row>
    <row r="3447" spans="2:12" ht="15.75">
      <c r="B3447" s="662" t="s">
        <v>607</v>
      </c>
      <c r="C3447" s="269"/>
      <c r="D3447" s="269">
        <v>0.3</v>
      </c>
      <c r="E3447" s="236">
        <v>0.35</v>
      </c>
      <c r="F3447" s="347">
        <v>3.56</v>
      </c>
      <c r="G3447" s="348"/>
      <c r="H3447" s="271"/>
      <c r="I3447" s="55">
        <v>1</v>
      </c>
      <c r="J3447" s="56">
        <v>1.1000000000000001</v>
      </c>
      <c r="K3447" s="354">
        <v>2</v>
      </c>
      <c r="L3447" s="656">
        <f t="shared" si="239"/>
        <v>0.82235999999999998</v>
      </c>
    </row>
    <row r="3448" spans="2:12" ht="15.75">
      <c r="B3448" s="662" t="s">
        <v>608</v>
      </c>
      <c r="C3448" s="269"/>
      <c r="D3448" s="269">
        <v>0.3</v>
      </c>
      <c r="E3448" s="236">
        <v>0.35</v>
      </c>
      <c r="F3448" s="347">
        <v>1.68</v>
      </c>
      <c r="G3448" s="348"/>
      <c r="H3448" s="271"/>
      <c r="I3448" s="55">
        <v>1</v>
      </c>
      <c r="J3448" s="56">
        <v>1.1000000000000001</v>
      </c>
      <c r="K3448" s="354">
        <v>2</v>
      </c>
      <c r="L3448" s="656">
        <f t="shared" si="239"/>
        <v>0.38807999999999998</v>
      </c>
    </row>
    <row r="3449" spans="2:12" ht="15.75">
      <c r="B3449" s="662" t="s">
        <v>609</v>
      </c>
      <c r="C3449" s="269"/>
      <c r="D3449" s="269">
        <v>0.3</v>
      </c>
      <c r="E3449" s="236">
        <v>0.35</v>
      </c>
      <c r="F3449" s="347">
        <f>0.66+2.96</f>
        <v>3.62</v>
      </c>
      <c r="G3449" s="348"/>
      <c r="H3449" s="271"/>
      <c r="I3449" s="55">
        <v>1</v>
      </c>
      <c r="J3449" s="56">
        <v>1.1000000000000001</v>
      </c>
      <c r="K3449" s="354">
        <v>2</v>
      </c>
      <c r="L3449" s="656">
        <f t="shared" si="239"/>
        <v>0.83622000000000007</v>
      </c>
    </row>
    <row r="3450" spans="2:12" ht="15.75">
      <c r="B3450" s="662" t="s">
        <v>610</v>
      </c>
      <c r="C3450" s="269"/>
      <c r="D3450" s="269">
        <v>0.3</v>
      </c>
      <c r="E3450" s="236">
        <v>0.35</v>
      </c>
      <c r="F3450" s="347">
        <f>3.99+3.76</f>
        <v>7.75</v>
      </c>
      <c r="G3450" s="348"/>
      <c r="H3450" s="271"/>
      <c r="I3450" s="55">
        <v>1</v>
      </c>
      <c r="J3450" s="56">
        <v>1.1000000000000001</v>
      </c>
      <c r="K3450" s="354">
        <v>2</v>
      </c>
      <c r="L3450" s="656">
        <f t="shared" si="239"/>
        <v>1.7902500000000001</v>
      </c>
    </row>
    <row r="3451" spans="2:12" ht="15.75">
      <c r="B3451" s="662" t="s">
        <v>611</v>
      </c>
      <c r="C3451" s="269"/>
      <c r="D3451" s="269">
        <v>0.3</v>
      </c>
      <c r="E3451" s="236">
        <v>0.35</v>
      </c>
      <c r="F3451" s="347">
        <f>3.74+1.12</f>
        <v>4.8600000000000003</v>
      </c>
      <c r="G3451" s="348"/>
      <c r="H3451" s="271"/>
      <c r="I3451" s="55">
        <v>1</v>
      </c>
      <c r="J3451" s="56">
        <v>1.1000000000000001</v>
      </c>
      <c r="K3451" s="354">
        <v>2</v>
      </c>
      <c r="L3451" s="656">
        <f t="shared" si="239"/>
        <v>1.12266</v>
      </c>
    </row>
    <row r="3452" spans="2:12" ht="15.75">
      <c r="B3452" s="662" t="s">
        <v>612</v>
      </c>
      <c r="C3452" s="269"/>
      <c r="D3452" s="269">
        <v>0.3</v>
      </c>
      <c r="E3452" s="236">
        <v>0.35</v>
      </c>
      <c r="F3452" s="347">
        <f>3.86</f>
        <v>3.86</v>
      </c>
      <c r="G3452" s="348"/>
      <c r="H3452" s="271"/>
      <c r="I3452" s="55">
        <v>1</v>
      </c>
      <c r="J3452" s="56">
        <v>1.1000000000000001</v>
      </c>
      <c r="K3452" s="354">
        <v>2</v>
      </c>
      <c r="L3452" s="656">
        <f t="shared" si="239"/>
        <v>0.89166000000000001</v>
      </c>
    </row>
    <row r="3453" spans="2:12" ht="15.75">
      <c r="B3453" s="662" t="s">
        <v>613</v>
      </c>
      <c r="C3453" s="269"/>
      <c r="D3453" s="269">
        <v>0.3</v>
      </c>
      <c r="E3453" s="236">
        <v>0.35</v>
      </c>
      <c r="F3453" s="347">
        <v>3.74</v>
      </c>
      <c r="G3453" s="348"/>
      <c r="H3453" s="271"/>
      <c r="I3453" s="55">
        <v>1</v>
      </c>
      <c r="J3453" s="56">
        <v>1.1000000000000001</v>
      </c>
      <c r="K3453" s="354">
        <v>2</v>
      </c>
      <c r="L3453" s="656">
        <f t="shared" si="239"/>
        <v>0.86394000000000004</v>
      </c>
    </row>
    <row r="3454" spans="2:12" ht="15.75">
      <c r="B3454" s="734"/>
      <c r="C3454" s="269"/>
      <c r="D3454" s="269"/>
      <c r="E3454" s="48"/>
      <c r="F3454" s="347"/>
      <c r="G3454" s="348"/>
      <c r="H3454" s="271"/>
      <c r="I3454" s="55"/>
      <c r="J3454" s="56"/>
      <c r="K3454" s="5"/>
      <c r="L3454" s="656"/>
    </row>
    <row r="3455" spans="2:12" ht="15.75">
      <c r="B3455" s="658" t="s">
        <v>886</v>
      </c>
      <c r="C3455" s="269"/>
      <c r="D3455" s="269"/>
      <c r="E3455" s="48"/>
      <c r="F3455" s="347"/>
      <c r="G3455" s="348"/>
      <c r="H3455" s="271"/>
      <c r="I3455" s="55"/>
      <c r="J3455" s="56"/>
      <c r="K3455" s="5"/>
      <c r="L3455" s="656"/>
    </row>
    <row r="3456" spans="2:12" ht="15.75">
      <c r="B3456" s="813" t="s">
        <v>599</v>
      </c>
      <c r="C3456" s="269"/>
      <c r="D3456" s="269">
        <v>1.4</v>
      </c>
      <c r="E3456" s="236">
        <v>0.35</v>
      </c>
      <c r="F3456" s="48">
        <v>1.4</v>
      </c>
      <c r="G3456" s="348"/>
      <c r="H3456" s="271"/>
      <c r="I3456" s="55">
        <v>2</v>
      </c>
      <c r="J3456" s="56">
        <v>1.1000000000000001</v>
      </c>
      <c r="K3456" s="354">
        <v>2</v>
      </c>
      <c r="L3456" s="656">
        <f t="shared" ref="L3456:L3468" si="240">PRODUCT(C3456:K3456)</f>
        <v>3.0183999999999993</v>
      </c>
    </row>
    <row r="3457" spans="2:12" ht="15.75">
      <c r="B3457" s="660" t="s">
        <v>600</v>
      </c>
      <c r="C3457" s="269"/>
      <c r="D3457" s="269">
        <v>1.1000000000000001</v>
      </c>
      <c r="E3457" s="236">
        <v>0.35</v>
      </c>
      <c r="F3457" s="48">
        <v>1.4</v>
      </c>
      <c r="G3457" s="348"/>
      <c r="H3457" s="271"/>
      <c r="I3457" s="55">
        <v>2</v>
      </c>
      <c r="J3457" s="56">
        <v>1.1000000000000001</v>
      </c>
      <c r="K3457" s="354">
        <v>2</v>
      </c>
      <c r="L3457" s="656">
        <f t="shared" si="240"/>
        <v>2.3715999999999999</v>
      </c>
    </row>
    <row r="3458" spans="2:12" ht="15.75">
      <c r="B3458" s="814" t="s">
        <v>601</v>
      </c>
      <c r="C3458" s="269"/>
      <c r="D3458" s="269">
        <v>1.2</v>
      </c>
      <c r="E3458" s="236">
        <v>0.35</v>
      </c>
      <c r="F3458" s="48">
        <v>1.2</v>
      </c>
      <c r="G3458" s="348"/>
      <c r="H3458" s="271"/>
      <c r="I3458" s="55">
        <v>1</v>
      </c>
      <c r="J3458" s="56">
        <v>1.1000000000000001</v>
      </c>
      <c r="K3458" s="354">
        <v>2</v>
      </c>
      <c r="L3458" s="656">
        <f t="shared" si="240"/>
        <v>1.1088</v>
      </c>
    </row>
    <row r="3459" spans="2:12" ht="15.75">
      <c r="B3459" s="814" t="s">
        <v>715</v>
      </c>
      <c r="C3459" s="269"/>
      <c r="D3459" s="269">
        <v>1.2</v>
      </c>
      <c r="E3459" s="236">
        <v>0.35</v>
      </c>
      <c r="F3459" s="48">
        <v>1.7</v>
      </c>
      <c r="G3459" s="348"/>
      <c r="H3459" s="271"/>
      <c r="I3459" s="55">
        <v>1</v>
      </c>
      <c r="J3459" s="56">
        <v>1.1000000000000001</v>
      </c>
      <c r="K3459" s="354">
        <v>2</v>
      </c>
      <c r="L3459" s="656">
        <f t="shared" si="240"/>
        <v>1.5708</v>
      </c>
    </row>
    <row r="3460" spans="2:12" ht="15.75">
      <c r="B3460" s="814" t="s">
        <v>716</v>
      </c>
      <c r="C3460" s="269"/>
      <c r="D3460" s="269">
        <v>1.7</v>
      </c>
      <c r="E3460" s="236">
        <v>0.35</v>
      </c>
      <c r="F3460" s="48">
        <v>1.7</v>
      </c>
      <c r="G3460" s="348"/>
      <c r="H3460" s="271"/>
      <c r="I3460" s="55">
        <v>2</v>
      </c>
      <c r="J3460" s="56">
        <v>1.1000000000000001</v>
      </c>
      <c r="K3460" s="354">
        <v>2</v>
      </c>
      <c r="L3460" s="656">
        <f t="shared" si="240"/>
        <v>4.4505999999999997</v>
      </c>
    </row>
    <row r="3461" spans="2:12" ht="15.75">
      <c r="B3461" s="662" t="s">
        <v>606</v>
      </c>
      <c r="C3461" s="269"/>
      <c r="D3461" s="269">
        <v>0.3</v>
      </c>
      <c r="E3461" s="236">
        <v>0.35</v>
      </c>
      <c r="F3461" s="347">
        <v>2.96</v>
      </c>
      <c r="G3461" s="348"/>
      <c r="H3461" s="271"/>
      <c r="I3461" s="55">
        <v>3</v>
      </c>
      <c r="J3461" s="56">
        <v>1.1000000000000001</v>
      </c>
      <c r="K3461" s="354">
        <v>2</v>
      </c>
      <c r="L3461" s="656">
        <f t="shared" si="240"/>
        <v>2.0512799999999998</v>
      </c>
    </row>
    <row r="3462" spans="2:12" ht="15.75">
      <c r="B3462" s="662" t="s">
        <v>607</v>
      </c>
      <c r="C3462" s="269"/>
      <c r="D3462" s="269">
        <v>0.3</v>
      </c>
      <c r="E3462" s="236">
        <v>0.35</v>
      </c>
      <c r="F3462" s="347">
        <v>3.56</v>
      </c>
      <c r="G3462" s="348"/>
      <c r="H3462" s="271"/>
      <c r="I3462" s="55">
        <v>1</v>
      </c>
      <c r="J3462" s="56">
        <v>1.1000000000000001</v>
      </c>
      <c r="K3462" s="354">
        <v>2</v>
      </c>
      <c r="L3462" s="656">
        <f t="shared" si="240"/>
        <v>0.82235999999999998</v>
      </c>
    </row>
    <row r="3463" spans="2:12" ht="15.75">
      <c r="B3463" s="662" t="s">
        <v>608</v>
      </c>
      <c r="C3463" s="269"/>
      <c r="D3463" s="269">
        <v>0.3</v>
      </c>
      <c r="E3463" s="236">
        <v>0.35</v>
      </c>
      <c r="F3463" s="347">
        <v>1.68</v>
      </c>
      <c r="G3463" s="348"/>
      <c r="H3463" s="271"/>
      <c r="I3463" s="55">
        <v>1</v>
      </c>
      <c r="J3463" s="56">
        <v>1.1000000000000001</v>
      </c>
      <c r="K3463" s="354">
        <v>2</v>
      </c>
      <c r="L3463" s="656">
        <f t="shared" si="240"/>
        <v>0.38807999999999998</v>
      </c>
    </row>
    <row r="3464" spans="2:12" ht="15.75">
      <c r="B3464" s="662" t="s">
        <v>609</v>
      </c>
      <c r="C3464" s="269"/>
      <c r="D3464" s="269">
        <v>0.3</v>
      </c>
      <c r="E3464" s="236">
        <v>0.35</v>
      </c>
      <c r="F3464" s="347">
        <f>0.66+2.96</f>
        <v>3.62</v>
      </c>
      <c r="G3464" s="348"/>
      <c r="H3464" s="271"/>
      <c r="I3464" s="55">
        <v>1</v>
      </c>
      <c r="J3464" s="56">
        <v>1.1000000000000001</v>
      </c>
      <c r="K3464" s="354">
        <v>2</v>
      </c>
      <c r="L3464" s="656">
        <f t="shared" si="240"/>
        <v>0.83622000000000007</v>
      </c>
    </row>
    <row r="3465" spans="2:12" ht="15.75">
      <c r="B3465" s="662" t="s">
        <v>610</v>
      </c>
      <c r="C3465" s="269"/>
      <c r="D3465" s="269">
        <v>0.3</v>
      </c>
      <c r="E3465" s="236">
        <v>0.35</v>
      </c>
      <c r="F3465" s="347">
        <f>3.99+3.76+3.16</f>
        <v>10.91</v>
      </c>
      <c r="G3465" s="348"/>
      <c r="H3465" s="271"/>
      <c r="I3465" s="55">
        <v>1</v>
      </c>
      <c r="J3465" s="56">
        <v>1.1000000000000001</v>
      </c>
      <c r="K3465" s="354">
        <v>2</v>
      </c>
      <c r="L3465" s="656">
        <f t="shared" si="240"/>
        <v>2.5202100000000005</v>
      </c>
    </row>
    <row r="3466" spans="2:12" ht="15.75">
      <c r="B3466" s="662" t="s">
        <v>611</v>
      </c>
      <c r="C3466" s="269"/>
      <c r="D3466" s="269">
        <v>0.3</v>
      </c>
      <c r="E3466" s="236">
        <v>0.35</v>
      </c>
      <c r="F3466" s="347">
        <f>3.74+1.12</f>
        <v>4.8600000000000003</v>
      </c>
      <c r="G3466" s="348"/>
      <c r="H3466" s="271"/>
      <c r="I3466" s="55">
        <v>1</v>
      </c>
      <c r="J3466" s="56">
        <v>1.1000000000000001</v>
      </c>
      <c r="K3466" s="354">
        <v>2</v>
      </c>
      <c r="L3466" s="656">
        <f t="shared" si="240"/>
        <v>1.12266</v>
      </c>
    </row>
    <row r="3467" spans="2:12" ht="15.75">
      <c r="B3467" s="662" t="s">
        <v>612</v>
      </c>
      <c r="C3467" s="269"/>
      <c r="D3467" s="269">
        <v>0.3</v>
      </c>
      <c r="E3467" s="236">
        <v>0.35</v>
      </c>
      <c r="F3467" s="347">
        <f>3.86+3.26</f>
        <v>7.1199999999999992</v>
      </c>
      <c r="G3467" s="348"/>
      <c r="H3467" s="271"/>
      <c r="I3467" s="55">
        <v>1</v>
      </c>
      <c r="J3467" s="56">
        <v>1.1000000000000001</v>
      </c>
      <c r="K3467" s="354">
        <v>2</v>
      </c>
      <c r="L3467" s="656">
        <f t="shared" si="240"/>
        <v>1.64472</v>
      </c>
    </row>
    <row r="3468" spans="2:12" ht="15.75">
      <c r="B3468" s="662" t="s">
        <v>613</v>
      </c>
      <c r="C3468" s="269"/>
      <c r="D3468" s="269">
        <v>0.3</v>
      </c>
      <c r="E3468" s="236">
        <v>0.35</v>
      </c>
      <c r="F3468" s="347">
        <v>3.74</v>
      </c>
      <c r="G3468" s="348"/>
      <c r="H3468" s="271"/>
      <c r="I3468" s="55">
        <v>1</v>
      </c>
      <c r="J3468" s="56">
        <v>1.1000000000000001</v>
      </c>
      <c r="K3468" s="354">
        <v>2</v>
      </c>
      <c r="L3468" s="656">
        <f t="shared" si="240"/>
        <v>0.86394000000000004</v>
      </c>
    </row>
    <row r="3469" spans="2:12" ht="15.75">
      <c r="B3469" s="690"/>
      <c r="C3469" s="269"/>
      <c r="D3469" s="269"/>
      <c r="E3469" s="48"/>
      <c r="F3469" s="347"/>
      <c r="G3469" s="348"/>
      <c r="H3469" s="271"/>
      <c r="I3469" s="55"/>
      <c r="J3469" s="56"/>
      <c r="K3469" s="354"/>
      <c r="L3469" s="656"/>
    </row>
    <row r="3470" spans="2:12" ht="15.75">
      <c r="B3470" s="815" t="s">
        <v>895</v>
      </c>
      <c r="C3470" s="269"/>
      <c r="D3470" s="269"/>
      <c r="E3470" s="48"/>
      <c r="F3470" s="347"/>
      <c r="G3470" s="348"/>
      <c r="H3470" s="271"/>
      <c r="I3470" s="55"/>
      <c r="J3470" s="56"/>
      <c r="K3470" s="354"/>
      <c r="L3470" s="656"/>
    </row>
    <row r="3471" spans="2:12" ht="16.5">
      <c r="B3471" s="799" t="s">
        <v>606</v>
      </c>
      <c r="C3471" s="269"/>
      <c r="D3471" s="269">
        <v>0.6</v>
      </c>
      <c r="E3471" s="48">
        <v>0.3</v>
      </c>
      <c r="F3471" s="347">
        <v>18.73</v>
      </c>
      <c r="G3471" s="348"/>
      <c r="H3471" s="271"/>
      <c r="I3471" s="55">
        <v>4</v>
      </c>
      <c r="J3471" s="56">
        <v>1.1000000000000001</v>
      </c>
      <c r="K3471" s="354">
        <v>2</v>
      </c>
      <c r="L3471" s="656">
        <f t="shared" ref="L3471:L3483" si="241">PRODUCT(C3471:K3471)</f>
        <v>29.668320000000001</v>
      </c>
    </row>
    <row r="3472" spans="2:12" ht="16.5">
      <c r="B3472" s="799" t="s">
        <v>607</v>
      </c>
      <c r="C3472" s="269"/>
      <c r="D3472" s="269">
        <v>0.6</v>
      </c>
      <c r="E3472" s="48">
        <v>0.3</v>
      </c>
      <c r="F3472" s="347">
        <v>4.05</v>
      </c>
      <c r="G3472" s="348"/>
      <c r="H3472" s="271"/>
      <c r="I3472" s="55">
        <v>6</v>
      </c>
      <c r="J3472" s="56">
        <v>1.1000000000000001</v>
      </c>
      <c r="K3472" s="354">
        <v>2</v>
      </c>
      <c r="L3472" s="656">
        <f t="shared" si="241"/>
        <v>9.6227999999999998</v>
      </c>
    </row>
    <row r="3473" spans="2:12" ht="16.5">
      <c r="B3473" s="799" t="s">
        <v>608</v>
      </c>
      <c r="C3473" s="269"/>
      <c r="D3473" s="269">
        <v>0.6</v>
      </c>
      <c r="E3473" s="48">
        <v>0.3</v>
      </c>
      <c r="F3473" s="347">
        <v>3.65</v>
      </c>
      <c r="G3473" s="348"/>
      <c r="H3473" s="271"/>
      <c r="I3473" s="55">
        <v>17</v>
      </c>
      <c r="J3473" s="56">
        <v>1.1000000000000001</v>
      </c>
      <c r="K3473" s="354">
        <v>2</v>
      </c>
      <c r="L3473" s="656">
        <f t="shared" si="241"/>
        <v>24.5718</v>
      </c>
    </row>
    <row r="3474" spans="2:12" ht="16.5">
      <c r="B3474" s="799" t="s">
        <v>609</v>
      </c>
      <c r="C3474" s="269"/>
      <c r="D3474" s="269">
        <v>0.6</v>
      </c>
      <c r="E3474" s="48">
        <v>0.3</v>
      </c>
      <c r="F3474" s="347">
        <v>14.3</v>
      </c>
      <c r="G3474" s="348"/>
      <c r="H3474" s="271"/>
      <c r="I3474" s="55">
        <f>2+2</f>
        <v>4</v>
      </c>
      <c r="J3474" s="56">
        <v>1.1000000000000001</v>
      </c>
      <c r="K3474" s="354">
        <v>2</v>
      </c>
      <c r="L3474" s="656">
        <f t="shared" si="241"/>
        <v>22.651199999999999</v>
      </c>
    </row>
    <row r="3475" spans="2:12" ht="16.5">
      <c r="B3475" s="799" t="s">
        <v>610</v>
      </c>
      <c r="C3475" s="269"/>
      <c r="D3475" s="269">
        <v>0.6</v>
      </c>
      <c r="E3475" s="48">
        <v>0.3</v>
      </c>
      <c r="F3475" s="347">
        <v>4.34</v>
      </c>
      <c r="G3475" s="348"/>
      <c r="H3475" s="271"/>
      <c r="I3475" s="55">
        <v>2</v>
      </c>
      <c r="J3475" s="56">
        <v>1.1000000000000001</v>
      </c>
      <c r="K3475" s="354">
        <v>2</v>
      </c>
      <c r="L3475" s="656">
        <f t="shared" si="241"/>
        <v>3.4372799999999999</v>
      </c>
    </row>
    <row r="3476" spans="2:12" ht="16.5">
      <c r="B3476" s="799" t="s">
        <v>611</v>
      </c>
      <c r="C3476" s="269"/>
      <c r="D3476" s="269">
        <v>0.6</v>
      </c>
      <c r="E3476" s="48">
        <v>0.3</v>
      </c>
      <c r="F3476" s="347">
        <v>2.5299999999999998</v>
      </c>
      <c r="G3476" s="348"/>
      <c r="H3476" s="271"/>
      <c r="I3476" s="55">
        <v>1</v>
      </c>
      <c r="J3476" s="56">
        <v>1.1000000000000001</v>
      </c>
      <c r="K3476" s="354">
        <v>2</v>
      </c>
      <c r="L3476" s="656">
        <f t="shared" si="241"/>
        <v>1.0018800000000001</v>
      </c>
    </row>
    <row r="3477" spans="2:12" ht="16.5">
      <c r="B3477" s="799" t="s">
        <v>612</v>
      </c>
      <c r="C3477" s="269"/>
      <c r="D3477" s="269">
        <v>0.6</v>
      </c>
      <c r="E3477" s="48">
        <v>0.3</v>
      </c>
      <c r="F3477" s="347">
        <v>1.5</v>
      </c>
      <c r="G3477" s="348"/>
      <c r="H3477" s="271"/>
      <c r="I3477" s="55">
        <v>3</v>
      </c>
      <c r="J3477" s="56">
        <v>1.1000000000000001</v>
      </c>
      <c r="K3477" s="354">
        <v>2</v>
      </c>
      <c r="L3477" s="656">
        <f t="shared" si="241"/>
        <v>1.7820000000000003</v>
      </c>
    </row>
    <row r="3478" spans="2:12" ht="16.5">
      <c r="B3478" s="799" t="s">
        <v>613</v>
      </c>
      <c r="C3478" s="269"/>
      <c r="D3478" s="269">
        <v>0.6</v>
      </c>
      <c r="E3478" s="48">
        <v>0.3</v>
      </c>
      <c r="F3478" s="347">
        <v>7.42</v>
      </c>
      <c r="G3478" s="348"/>
      <c r="H3478" s="271"/>
      <c r="I3478" s="55">
        <v>2</v>
      </c>
      <c r="J3478" s="56">
        <v>1.1000000000000001</v>
      </c>
      <c r="K3478" s="354">
        <v>2</v>
      </c>
      <c r="L3478" s="656">
        <f t="shared" si="241"/>
        <v>5.8766400000000001</v>
      </c>
    </row>
    <row r="3479" spans="2:12" ht="16.5">
      <c r="B3479" s="799" t="s">
        <v>614</v>
      </c>
      <c r="C3479" s="269"/>
      <c r="D3479" s="269">
        <v>0.6</v>
      </c>
      <c r="E3479" s="48">
        <v>0.3</v>
      </c>
      <c r="F3479" s="347">
        <v>14.5</v>
      </c>
      <c r="G3479" s="348"/>
      <c r="H3479" s="271"/>
      <c r="I3479" s="55">
        <v>1</v>
      </c>
      <c r="J3479" s="56">
        <v>1.1000000000000001</v>
      </c>
      <c r="K3479" s="354">
        <v>2</v>
      </c>
      <c r="L3479" s="656">
        <f t="shared" si="241"/>
        <v>5.742</v>
      </c>
    </row>
    <row r="3480" spans="2:12" ht="16.5">
      <c r="B3480" s="799" t="s">
        <v>615</v>
      </c>
      <c r="C3480" s="269"/>
      <c r="D3480" s="269">
        <v>0.6</v>
      </c>
      <c r="E3480" s="48">
        <v>0.3</v>
      </c>
      <c r="F3480" s="347">
        <f>3.84+3.38</f>
        <v>7.22</v>
      </c>
      <c r="G3480" s="348"/>
      <c r="H3480" s="271"/>
      <c r="I3480" s="55">
        <v>2</v>
      </c>
      <c r="J3480" s="56">
        <v>1.1000000000000001</v>
      </c>
      <c r="K3480" s="354">
        <v>2</v>
      </c>
      <c r="L3480" s="656">
        <f t="shared" si="241"/>
        <v>5.7182399999999998</v>
      </c>
    </row>
    <row r="3481" spans="2:12" ht="16.5">
      <c r="B3481" s="799" t="s">
        <v>616</v>
      </c>
      <c r="C3481" s="269"/>
      <c r="D3481" s="269">
        <v>0.6</v>
      </c>
      <c r="E3481" s="48">
        <v>0.3</v>
      </c>
      <c r="F3481" s="347">
        <v>10.62</v>
      </c>
      <c r="G3481" s="348"/>
      <c r="H3481" s="271"/>
      <c r="I3481" s="55">
        <v>2</v>
      </c>
      <c r="J3481" s="56">
        <v>1.1000000000000001</v>
      </c>
      <c r="K3481" s="354">
        <v>2</v>
      </c>
      <c r="L3481" s="656">
        <f t="shared" si="241"/>
        <v>8.4110399999999998</v>
      </c>
    </row>
    <row r="3482" spans="2:12" ht="16.5">
      <c r="B3482" s="799" t="s">
        <v>617</v>
      </c>
      <c r="C3482" s="269"/>
      <c r="D3482" s="269">
        <v>0.6</v>
      </c>
      <c r="E3482" s="48">
        <v>0.3</v>
      </c>
      <c r="F3482" s="347">
        <v>2.5499999999999998</v>
      </c>
      <c r="G3482" s="348"/>
      <c r="H3482" s="271"/>
      <c r="I3482" s="55">
        <v>1</v>
      </c>
      <c r="J3482" s="56">
        <v>1.1000000000000001</v>
      </c>
      <c r="K3482" s="354">
        <v>2</v>
      </c>
      <c r="L3482" s="656">
        <f t="shared" si="241"/>
        <v>1.0098</v>
      </c>
    </row>
    <row r="3483" spans="2:12" ht="16.5">
      <c r="B3483" s="799" t="s">
        <v>618</v>
      </c>
      <c r="C3483" s="269"/>
      <c r="D3483" s="269">
        <v>0.6</v>
      </c>
      <c r="E3483" s="48">
        <v>0.3</v>
      </c>
      <c r="F3483" s="347">
        <v>3.74</v>
      </c>
      <c r="G3483" s="39"/>
      <c r="H3483" s="39"/>
      <c r="I3483" s="137">
        <v>1</v>
      </c>
      <c r="J3483" s="56">
        <v>1.1000000000000001</v>
      </c>
      <c r="K3483" s="354">
        <v>2</v>
      </c>
      <c r="L3483" s="656">
        <f t="shared" si="241"/>
        <v>1.4810400000000001</v>
      </c>
    </row>
    <row r="3484" spans="2:12" ht="16.5">
      <c r="B3484" s="658" t="s">
        <v>464</v>
      </c>
      <c r="C3484" s="237"/>
      <c r="D3484" s="237"/>
      <c r="E3484" s="237"/>
      <c r="F3484" s="238"/>
      <c r="G3484" s="237"/>
      <c r="H3484" s="40"/>
      <c r="I3484" s="239"/>
      <c r="J3484" s="56"/>
      <c r="K3484" s="40"/>
      <c r="L3484" s="817"/>
    </row>
    <row r="3485" spans="2:12" ht="16.5">
      <c r="B3485" s="734" t="s">
        <v>467</v>
      </c>
      <c r="C3485" s="240"/>
      <c r="D3485" s="59">
        <v>0.5</v>
      </c>
      <c r="E3485" s="59">
        <v>5.75</v>
      </c>
      <c r="F3485" s="51">
        <v>0.5</v>
      </c>
      <c r="G3485" s="50"/>
      <c r="H3485" s="5"/>
      <c r="I3485" s="41">
        <v>2</v>
      </c>
      <c r="J3485" s="56">
        <v>1.1000000000000001</v>
      </c>
      <c r="K3485" s="52">
        <v>2</v>
      </c>
      <c r="L3485" s="818">
        <f t="shared" ref="L3485:L3487" si="242">PRODUCT(C3485:K3485)</f>
        <v>6.3250000000000002</v>
      </c>
    </row>
    <row r="3486" spans="2:12" ht="16.5">
      <c r="B3486" s="812" t="s">
        <v>468</v>
      </c>
      <c r="C3486" s="350"/>
      <c r="D3486" s="48">
        <v>0.5</v>
      </c>
      <c r="E3486" s="59">
        <v>5.75</v>
      </c>
      <c r="F3486" s="49">
        <v>0.5</v>
      </c>
      <c r="G3486" s="351"/>
      <c r="H3486" s="5"/>
      <c r="I3486" s="41">
        <v>2</v>
      </c>
      <c r="J3486" s="56">
        <v>1.1000000000000001</v>
      </c>
      <c r="K3486" s="354">
        <v>2</v>
      </c>
      <c r="L3486" s="818">
        <f t="shared" si="242"/>
        <v>6.3250000000000002</v>
      </c>
    </row>
    <row r="3487" spans="2:12" ht="16.5">
      <c r="B3487" s="708" t="s">
        <v>469</v>
      </c>
      <c r="C3487" s="350"/>
      <c r="D3487" s="352">
        <v>0.25</v>
      </c>
      <c r="E3487" s="59">
        <v>4.25</v>
      </c>
      <c r="F3487" s="353">
        <v>0.25</v>
      </c>
      <c r="G3487" s="351"/>
      <c r="H3487" s="5"/>
      <c r="I3487" s="41">
        <v>2</v>
      </c>
      <c r="J3487" s="56">
        <v>1.1000000000000001</v>
      </c>
      <c r="K3487" s="354">
        <v>2</v>
      </c>
      <c r="L3487" s="818">
        <f t="shared" si="242"/>
        <v>1.1687500000000002</v>
      </c>
    </row>
    <row r="3488" spans="2:12" ht="16.5">
      <c r="B3488" s="708"/>
      <c r="C3488" s="401"/>
      <c r="D3488" s="48"/>
      <c r="E3488" s="48"/>
      <c r="F3488" s="45"/>
      <c r="G3488" s="18"/>
      <c r="H3488" s="5"/>
      <c r="I3488" s="41"/>
      <c r="J3488" s="46"/>
      <c r="K3488" s="5"/>
      <c r="L3488" s="818"/>
    </row>
    <row r="3489" spans="2:12" ht="15.75">
      <c r="B3489" s="662" t="s">
        <v>975</v>
      </c>
      <c r="C3489" s="19"/>
      <c r="D3489" s="19"/>
      <c r="E3489" s="48"/>
      <c r="F3489" s="47"/>
      <c r="G3489" s="57"/>
      <c r="H3489" s="21"/>
      <c r="I3489" s="55"/>
      <c r="J3489" s="56"/>
      <c r="K3489" s="5"/>
      <c r="L3489" s="649"/>
    </row>
    <row r="3490" spans="2:12" ht="16.5">
      <c r="B3490" s="662" t="s">
        <v>666</v>
      </c>
      <c r="C3490" s="269"/>
      <c r="D3490" s="42">
        <v>0.25</v>
      </c>
      <c r="E3490" s="42">
        <v>0.5</v>
      </c>
      <c r="F3490" s="43">
        <v>3.5</v>
      </c>
      <c r="G3490" s="270"/>
      <c r="H3490" s="271"/>
      <c r="I3490" s="35">
        <v>2</v>
      </c>
      <c r="J3490" s="22">
        <v>4</v>
      </c>
      <c r="K3490" s="17">
        <v>1.2</v>
      </c>
      <c r="L3490" s="649">
        <f t="shared" ref="L3490:L3491" si="243">PRODUCT(C3490:K3490)</f>
        <v>4.2</v>
      </c>
    </row>
    <row r="3491" spans="2:12" ht="16.5">
      <c r="B3491" s="662" t="s">
        <v>667</v>
      </c>
      <c r="C3491" s="269"/>
      <c r="D3491" s="42">
        <v>0.25</v>
      </c>
      <c r="E3491" s="42">
        <v>0.5</v>
      </c>
      <c r="F3491" s="43">
        <v>4.5</v>
      </c>
      <c r="G3491" s="270"/>
      <c r="H3491" s="271"/>
      <c r="I3491" s="35">
        <v>2</v>
      </c>
      <c r="J3491" s="22">
        <v>4</v>
      </c>
      <c r="K3491" s="17">
        <v>1.2</v>
      </c>
      <c r="L3491" s="649">
        <f t="shared" si="243"/>
        <v>5.3999999999999995</v>
      </c>
    </row>
    <row r="3492" spans="2:12" ht="16.5">
      <c r="B3492" s="662"/>
      <c r="C3492" s="269"/>
      <c r="D3492" s="42"/>
      <c r="E3492" s="42"/>
      <c r="F3492" s="43"/>
      <c r="G3492" s="270"/>
      <c r="H3492" s="271"/>
      <c r="I3492" s="35"/>
      <c r="J3492" s="22"/>
      <c r="K3492" s="17"/>
      <c r="L3492" s="649"/>
    </row>
    <row r="3493" spans="2:12">
      <c r="B3493" s="651"/>
      <c r="L3493" s="652"/>
    </row>
    <row r="3494" spans="2:12">
      <c r="B3494" s="651"/>
      <c r="L3494" s="652"/>
    </row>
    <row r="3495" spans="2:12">
      <c r="B3495" s="651"/>
      <c r="L3495" s="652"/>
    </row>
    <row r="3496" spans="2:12">
      <c r="B3496" s="651"/>
      <c r="L3496" s="652"/>
    </row>
    <row r="3497" spans="2:12" ht="15.6" customHeight="1">
      <c r="B3497" s="638" t="s">
        <v>398</v>
      </c>
      <c r="C3497" s="8">
        <v>3</v>
      </c>
      <c r="D3497" s="1008" t="s">
        <v>1038</v>
      </c>
      <c r="E3497" s="1009"/>
      <c r="F3497" s="1009"/>
      <c r="G3497" s="1009"/>
      <c r="H3497" s="1009"/>
      <c r="I3497" s="1009"/>
      <c r="J3497" s="1009"/>
      <c r="K3497" s="1009"/>
      <c r="L3497" s="1010"/>
    </row>
    <row r="3498" spans="2:12" ht="15">
      <c r="B3498" s="1005"/>
      <c r="C3498" s="1006"/>
      <c r="D3498" s="1006"/>
      <c r="E3498" s="1006"/>
      <c r="F3498" s="1006"/>
      <c r="G3498" s="1006"/>
      <c r="H3498" s="1006"/>
      <c r="I3498" s="1006"/>
      <c r="J3498" s="1006"/>
      <c r="K3498" s="1006"/>
      <c r="L3498" s="1007"/>
    </row>
    <row r="3499" spans="2:12" ht="46.9" customHeight="1">
      <c r="B3499" s="653" t="s">
        <v>399</v>
      </c>
      <c r="C3499" s="11">
        <f>+'PROPUESTA ECONOMICA(Proponente)'!C400</f>
        <v>3.5</v>
      </c>
      <c r="D3499" s="1015" t="str">
        <f>+VLOOKUP('MEMORIAS DE CANTIDADES'!C3499,'PROPUESTA ECONOMICA(Proponente)'!$C$379:$H$661,5,FALSE)</f>
        <v>CONCRETO VIGAS  CIMIENTOS, ZAPATAS Y AMARRES: Concreto premezclado de 4000 PSI para Viga Cimiento y zapatas  (incluye suministro e instalación)</v>
      </c>
      <c r="E3499" s="1016"/>
      <c r="F3499" s="1016"/>
      <c r="G3499" s="1016"/>
      <c r="H3499" s="1017"/>
      <c r="I3499" s="11" t="s">
        <v>400</v>
      </c>
      <c r="J3499" s="11" t="str">
        <f>+VLOOKUP('MEMORIAS DE CANTIDADES'!C3499,'PROPUESTA ECONOMICA(Proponente)'!$C$379:$H$661,6,FALSE)</f>
        <v>M3</v>
      </c>
      <c r="K3499" s="11" t="s">
        <v>401</v>
      </c>
      <c r="L3499" s="643">
        <f>SUM(L3500:L3567)</f>
        <v>144.98787999999996</v>
      </c>
    </row>
    <row r="3500" spans="2:12" ht="15">
      <c r="B3500" s="644"/>
      <c r="C3500" s="16"/>
      <c r="D3500" s="15"/>
      <c r="E3500" s="15"/>
      <c r="F3500" s="15"/>
      <c r="G3500" s="15"/>
      <c r="H3500" s="15"/>
      <c r="I3500" s="15"/>
      <c r="J3500" s="15"/>
      <c r="K3500" s="17"/>
      <c r="L3500" s="645"/>
    </row>
    <row r="3501" spans="2:12" ht="47.25">
      <c r="B3501" s="646" t="s">
        <v>402</v>
      </c>
      <c r="C3501" s="18" t="s">
        <v>403</v>
      </c>
      <c r="D3501" s="18" t="s">
        <v>404</v>
      </c>
      <c r="E3501" s="18" t="s">
        <v>405</v>
      </c>
      <c r="F3501" s="18" t="s">
        <v>406</v>
      </c>
      <c r="G3501" s="18" t="s">
        <v>407</v>
      </c>
      <c r="H3501" s="5" t="s">
        <v>408</v>
      </c>
      <c r="I3501" s="18" t="s">
        <v>409</v>
      </c>
      <c r="J3501" s="5" t="s">
        <v>410</v>
      </c>
      <c r="K3501" s="5" t="s">
        <v>411</v>
      </c>
      <c r="L3501" s="647" t="s">
        <v>412</v>
      </c>
    </row>
    <row r="3502" spans="2:12" ht="16.5">
      <c r="B3502" s="658" t="s">
        <v>438</v>
      </c>
      <c r="C3502" s="18"/>
      <c r="D3502" s="18"/>
      <c r="E3502" s="18"/>
      <c r="G3502" s="18"/>
      <c r="H3502" s="5"/>
      <c r="I3502" s="41"/>
      <c r="J3502" s="46"/>
      <c r="K3502" s="5"/>
      <c r="L3502" s="649"/>
    </row>
    <row r="3503" spans="2:12" ht="16.5">
      <c r="B3503" s="708" t="s">
        <v>440</v>
      </c>
      <c r="C3503" s="48"/>
      <c r="D3503" s="48">
        <v>2.6</v>
      </c>
      <c r="E3503" s="48">
        <v>0.45</v>
      </c>
      <c r="F3503" s="45">
        <v>3.4</v>
      </c>
      <c r="G3503" s="48"/>
      <c r="H3503" s="30"/>
      <c r="I3503" s="41">
        <v>6</v>
      </c>
      <c r="J3503" s="46"/>
      <c r="K3503" s="30"/>
      <c r="L3503" s="649">
        <f t="shared" ref="L3503:L3508" si="244">PRODUCT(C3503:K3503)</f>
        <v>23.868000000000002</v>
      </c>
    </row>
    <row r="3504" spans="2:12" ht="16.5">
      <c r="B3504" s="708" t="s">
        <v>441</v>
      </c>
      <c r="C3504" s="48"/>
      <c r="D3504" s="48">
        <v>1.5</v>
      </c>
      <c r="E3504" s="48">
        <v>0.45</v>
      </c>
      <c r="F3504" s="45">
        <v>1.5</v>
      </c>
      <c r="G3504" s="48"/>
      <c r="H3504" s="30"/>
      <c r="I3504" s="41">
        <v>2</v>
      </c>
      <c r="J3504" s="46"/>
      <c r="K3504" s="30"/>
      <c r="L3504" s="649">
        <f t="shared" si="244"/>
        <v>2.0250000000000004</v>
      </c>
    </row>
    <row r="3505" spans="2:12" ht="16.5">
      <c r="B3505" s="708" t="s">
        <v>488</v>
      </c>
      <c r="C3505" s="48"/>
      <c r="D3505" s="48">
        <v>0.4</v>
      </c>
      <c r="E3505" s="48">
        <v>0.4</v>
      </c>
      <c r="F3505" s="45">
        <f>10.09*2+6.35*2+4.26*2+1.15*2</f>
        <v>43.699999999999989</v>
      </c>
      <c r="G3505" s="48"/>
      <c r="H3505" s="30"/>
      <c r="I3505" s="41"/>
      <c r="J3505" s="46"/>
      <c r="K3505" s="30"/>
      <c r="L3505" s="649">
        <f t="shared" si="244"/>
        <v>6.9919999999999991</v>
      </c>
    </row>
    <row r="3506" spans="2:12" ht="16.5">
      <c r="B3506" s="708" t="s">
        <v>489</v>
      </c>
      <c r="C3506" s="48"/>
      <c r="D3506" s="48">
        <v>0.5</v>
      </c>
      <c r="E3506" s="48">
        <v>0.4</v>
      </c>
      <c r="F3506" s="45">
        <v>3.3</v>
      </c>
      <c r="G3506" s="48"/>
      <c r="H3506" s="30"/>
      <c r="I3506" s="41"/>
      <c r="J3506" s="46"/>
      <c r="K3506" s="30"/>
      <c r="L3506" s="649">
        <f t="shared" si="244"/>
        <v>0.66</v>
      </c>
    </row>
    <row r="3507" spans="2:12" ht="16.5">
      <c r="B3507" s="708" t="s">
        <v>490</v>
      </c>
      <c r="C3507" s="48"/>
      <c r="D3507" s="48">
        <v>0.3</v>
      </c>
      <c r="E3507" s="48">
        <v>0.4</v>
      </c>
      <c r="F3507" s="45">
        <f>3.6*7</f>
        <v>25.2</v>
      </c>
      <c r="G3507" s="48"/>
      <c r="H3507" s="30"/>
      <c r="I3507" s="41"/>
      <c r="J3507" s="46"/>
      <c r="K3507" s="30"/>
      <c r="L3507" s="649">
        <f t="shared" si="244"/>
        <v>3.024</v>
      </c>
    </row>
    <row r="3508" spans="2:12" ht="16.5">
      <c r="B3508" s="708" t="s">
        <v>491</v>
      </c>
      <c r="C3508" s="48"/>
      <c r="D3508" s="48">
        <v>0.3</v>
      </c>
      <c r="E3508" s="48">
        <v>0.4</v>
      </c>
      <c r="F3508" s="45">
        <v>3.88</v>
      </c>
      <c r="G3508" s="48"/>
      <c r="H3508" s="30"/>
      <c r="I3508" s="41"/>
      <c r="J3508" s="46"/>
      <c r="K3508" s="30"/>
      <c r="L3508" s="649">
        <f t="shared" si="244"/>
        <v>0.46559999999999996</v>
      </c>
    </row>
    <row r="3509" spans="2:12" ht="16.5">
      <c r="B3509" s="708"/>
      <c r="C3509" s="48"/>
      <c r="D3509" s="48"/>
      <c r="E3509" s="48"/>
      <c r="F3509" s="45"/>
      <c r="G3509" s="48"/>
      <c r="H3509" s="30"/>
      <c r="I3509" s="41"/>
      <c r="J3509" s="46"/>
      <c r="K3509" s="30"/>
      <c r="L3509" s="649"/>
    </row>
    <row r="3510" spans="2:12" ht="16.5">
      <c r="B3510" s="708"/>
      <c r="C3510" s="48"/>
      <c r="D3510" s="48"/>
      <c r="E3510" s="48"/>
      <c r="F3510" s="45"/>
      <c r="G3510" s="48"/>
      <c r="H3510" s="30"/>
      <c r="I3510" s="41"/>
      <c r="J3510" s="46"/>
      <c r="K3510" s="30"/>
      <c r="L3510" s="649"/>
    </row>
    <row r="3511" spans="2:12" ht="16.5">
      <c r="B3511" s="658" t="s">
        <v>464</v>
      </c>
      <c r="C3511" s="48"/>
      <c r="D3511" s="48"/>
      <c r="E3511" s="48"/>
      <c r="F3511" s="49"/>
      <c r="G3511" s="48"/>
      <c r="H3511" s="30"/>
      <c r="I3511" s="41"/>
      <c r="J3511" s="46"/>
      <c r="K3511" s="30"/>
      <c r="L3511" s="649"/>
    </row>
    <row r="3512" spans="2:12" ht="16.5">
      <c r="B3512" s="734" t="s">
        <v>465</v>
      </c>
      <c r="C3512" s="50"/>
      <c r="D3512" s="59">
        <v>0.45</v>
      </c>
      <c r="E3512" s="59">
        <v>0.45</v>
      </c>
      <c r="F3512" s="51">
        <v>3.4</v>
      </c>
      <c r="G3512" s="50"/>
      <c r="H3512" s="52"/>
      <c r="I3512" s="53">
        <v>4</v>
      </c>
      <c r="J3512" s="54"/>
      <c r="K3512" s="52"/>
      <c r="L3512" s="649">
        <f t="shared" ref="L3512:L3517" si="245">PRODUCT(C3512:K3512)</f>
        <v>2.754</v>
      </c>
    </row>
    <row r="3513" spans="2:12" ht="16.5">
      <c r="B3513" s="812" t="s">
        <v>466</v>
      </c>
      <c r="C3513" s="351"/>
      <c r="D3513" s="352">
        <v>0.45</v>
      </c>
      <c r="E3513" s="59">
        <v>0.45</v>
      </c>
      <c r="F3513" s="353">
        <v>1.4</v>
      </c>
      <c r="G3513" s="351"/>
      <c r="H3513" s="354"/>
      <c r="I3513" s="53">
        <v>4</v>
      </c>
      <c r="J3513" s="355"/>
      <c r="K3513" s="354"/>
      <c r="L3513" s="649">
        <f t="shared" si="245"/>
        <v>1.1339999999999999</v>
      </c>
    </row>
    <row r="3514" spans="2:12" ht="16.5">
      <c r="B3514" s="708" t="s">
        <v>492</v>
      </c>
      <c r="C3514" s="351"/>
      <c r="D3514" s="352">
        <v>0.3</v>
      </c>
      <c r="E3514" s="59">
        <v>0.4</v>
      </c>
      <c r="F3514" s="353">
        <f>5.05*2+4.8*2</f>
        <v>19.7</v>
      </c>
      <c r="G3514" s="351"/>
      <c r="H3514" s="354"/>
      <c r="I3514" s="53">
        <v>2</v>
      </c>
      <c r="J3514" s="355"/>
      <c r="K3514" s="354">
        <v>2</v>
      </c>
      <c r="L3514" s="649">
        <f t="shared" si="245"/>
        <v>9.4559999999999995</v>
      </c>
    </row>
    <row r="3515" spans="2:12" ht="16.5">
      <c r="B3515" s="708" t="s">
        <v>493</v>
      </c>
      <c r="C3515" s="351"/>
      <c r="D3515" s="352">
        <v>0.5</v>
      </c>
      <c r="E3515" s="59">
        <v>0.4</v>
      </c>
      <c r="F3515" s="353">
        <f>3.08*2</f>
        <v>6.16</v>
      </c>
      <c r="G3515" s="351"/>
      <c r="H3515" s="354"/>
      <c r="I3515" s="53">
        <v>2</v>
      </c>
      <c r="J3515" s="355"/>
      <c r="K3515" s="354">
        <v>2</v>
      </c>
      <c r="L3515" s="649">
        <f t="shared" si="245"/>
        <v>4.9280000000000008</v>
      </c>
    </row>
    <row r="3516" spans="2:12" ht="16.5">
      <c r="B3516" s="708" t="s">
        <v>494</v>
      </c>
      <c r="C3516" s="351"/>
      <c r="D3516" s="352">
        <v>0.3</v>
      </c>
      <c r="E3516" s="59">
        <v>0.4</v>
      </c>
      <c r="F3516" s="353">
        <f>3.48*2</f>
        <v>6.96</v>
      </c>
      <c r="G3516" s="351"/>
      <c r="H3516" s="354"/>
      <c r="I3516" s="53">
        <v>2</v>
      </c>
      <c r="J3516" s="355"/>
      <c r="K3516" s="354">
        <v>2</v>
      </c>
      <c r="L3516" s="649">
        <f t="shared" si="245"/>
        <v>3.3407999999999998</v>
      </c>
    </row>
    <row r="3517" spans="2:12" ht="16.5">
      <c r="B3517" s="708" t="s">
        <v>495</v>
      </c>
      <c r="C3517" s="351"/>
      <c r="D3517" s="352">
        <v>0.3</v>
      </c>
      <c r="E3517" s="59">
        <v>0.4</v>
      </c>
      <c r="F3517" s="353">
        <v>1.72</v>
      </c>
      <c r="G3517" s="351"/>
      <c r="H3517" s="354"/>
      <c r="I3517" s="53">
        <v>2</v>
      </c>
      <c r="J3517" s="355"/>
      <c r="K3517" s="354">
        <v>2</v>
      </c>
      <c r="L3517" s="649">
        <f t="shared" si="245"/>
        <v>0.8256</v>
      </c>
    </row>
    <row r="3518" spans="2:12" ht="16.5">
      <c r="B3518" s="812"/>
      <c r="C3518" s="351"/>
      <c r="D3518" s="352"/>
      <c r="E3518" s="59"/>
      <c r="F3518" s="353"/>
      <c r="G3518" s="351"/>
      <c r="H3518" s="354"/>
      <c r="I3518" s="53"/>
      <c r="J3518" s="355"/>
      <c r="K3518" s="354"/>
      <c r="L3518" s="649"/>
    </row>
    <row r="3519" spans="2:12" ht="15.75">
      <c r="B3519" s="819" t="s">
        <v>889</v>
      </c>
      <c r="C3519" s="228"/>
      <c r="D3519" s="228"/>
      <c r="E3519" s="230"/>
      <c r="F3519" s="231"/>
      <c r="G3519" s="232"/>
      <c r="H3519" s="229"/>
      <c r="I3519" s="233"/>
      <c r="J3519" s="234"/>
      <c r="K3519" s="235"/>
      <c r="L3519" s="820"/>
    </row>
    <row r="3520" spans="2:12" ht="16.5">
      <c r="B3520" s="747" t="s">
        <v>631</v>
      </c>
      <c r="C3520" s="19"/>
      <c r="D3520" s="19">
        <v>0.3</v>
      </c>
      <c r="E3520" s="236">
        <v>0.3</v>
      </c>
      <c r="F3520" s="47">
        <f>3+0.54</f>
        <v>3.54</v>
      </c>
      <c r="G3520" s="57"/>
      <c r="H3520" s="21"/>
      <c r="I3520" s="55"/>
      <c r="J3520" s="56"/>
      <c r="K3520" s="354">
        <v>2</v>
      </c>
      <c r="L3520" s="649">
        <f t="shared" ref="L3520:L3527" si="246">PRODUCT(C3520:K3520)</f>
        <v>0.63719999999999999</v>
      </c>
    </row>
    <row r="3521" spans="2:12" ht="16.5">
      <c r="B3521" s="747" t="s">
        <v>632</v>
      </c>
      <c r="C3521" s="19"/>
      <c r="D3521" s="19">
        <v>0.3</v>
      </c>
      <c r="E3521" s="236">
        <v>0.3</v>
      </c>
      <c r="F3521" s="47">
        <v>3.66</v>
      </c>
      <c r="G3521" s="57"/>
      <c r="H3521" s="21"/>
      <c r="I3521" s="55"/>
      <c r="J3521" s="56"/>
      <c r="K3521" s="354">
        <v>2</v>
      </c>
      <c r="L3521" s="649">
        <f t="shared" si="246"/>
        <v>0.65880000000000005</v>
      </c>
    </row>
    <row r="3522" spans="2:12" ht="16.5">
      <c r="B3522" s="747" t="s">
        <v>891</v>
      </c>
      <c r="C3522" s="19"/>
      <c r="D3522" s="19">
        <v>0.3</v>
      </c>
      <c r="E3522" s="236">
        <v>0.3</v>
      </c>
      <c r="F3522" s="47">
        <f>3.06+0.3</f>
        <v>3.36</v>
      </c>
      <c r="G3522" s="57"/>
      <c r="H3522" s="21"/>
      <c r="I3522" s="55"/>
      <c r="J3522" s="56"/>
      <c r="K3522" s="354">
        <v>2</v>
      </c>
      <c r="L3522" s="649">
        <f t="shared" si="246"/>
        <v>0.6048</v>
      </c>
    </row>
    <row r="3523" spans="2:12" ht="16.5">
      <c r="B3523" s="747" t="s">
        <v>892</v>
      </c>
      <c r="C3523" s="19"/>
      <c r="D3523" s="19">
        <v>0.3</v>
      </c>
      <c r="E3523" s="236">
        <v>0.3</v>
      </c>
      <c r="F3523" s="47">
        <v>3.06</v>
      </c>
      <c r="G3523" s="57"/>
      <c r="H3523" s="21"/>
      <c r="I3523" s="55"/>
      <c r="J3523" s="56"/>
      <c r="K3523" s="354">
        <v>2</v>
      </c>
      <c r="L3523" s="649">
        <f t="shared" si="246"/>
        <v>0.55079999999999996</v>
      </c>
    </row>
    <row r="3524" spans="2:12" ht="16.5">
      <c r="B3524" s="747" t="s">
        <v>893</v>
      </c>
      <c r="C3524" s="19"/>
      <c r="D3524" s="19">
        <v>0.3</v>
      </c>
      <c r="E3524" s="236">
        <v>0.3</v>
      </c>
      <c r="F3524" s="47">
        <f>3.49+3.62+3.8</f>
        <v>10.91</v>
      </c>
      <c r="G3524" s="57"/>
      <c r="H3524" s="21"/>
      <c r="I3524" s="55"/>
      <c r="J3524" s="56"/>
      <c r="K3524" s="354">
        <v>2</v>
      </c>
      <c r="L3524" s="649">
        <f t="shared" si="246"/>
        <v>1.9638</v>
      </c>
    </row>
    <row r="3525" spans="2:12" ht="16.5">
      <c r="B3525" s="747" t="s">
        <v>894</v>
      </c>
      <c r="C3525" s="19"/>
      <c r="D3525" s="19">
        <v>0.3</v>
      </c>
      <c r="E3525" s="236">
        <v>0.3</v>
      </c>
      <c r="F3525" s="47">
        <v>3.62</v>
      </c>
      <c r="G3525" s="57"/>
      <c r="H3525" s="21"/>
      <c r="I3525" s="55"/>
      <c r="J3525" s="56"/>
      <c r="K3525" s="354">
        <v>2</v>
      </c>
      <c r="L3525" s="649">
        <f t="shared" si="246"/>
        <v>0.65159999999999996</v>
      </c>
    </row>
    <row r="3526" spans="2:12" ht="16.5">
      <c r="B3526" s="747" t="s">
        <v>725</v>
      </c>
      <c r="C3526" s="19"/>
      <c r="D3526" s="19">
        <v>0.3</v>
      </c>
      <c r="E3526" s="236">
        <v>0.3</v>
      </c>
      <c r="F3526" s="47">
        <f>3.49+3.74</f>
        <v>7.23</v>
      </c>
      <c r="G3526" s="57"/>
      <c r="H3526" s="21"/>
      <c r="I3526" s="55"/>
      <c r="J3526" s="56"/>
      <c r="K3526" s="354">
        <v>2</v>
      </c>
      <c r="L3526" s="649">
        <f t="shared" si="246"/>
        <v>1.3014000000000001</v>
      </c>
    </row>
    <row r="3527" spans="2:12" ht="16.5">
      <c r="B3527" s="747" t="s">
        <v>634</v>
      </c>
      <c r="C3527" s="19"/>
      <c r="D3527" s="19">
        <v>0.12</v>
      </c>
      <c r="E3527" s="236">
        <v>0.35</v>
      </c>
      <c r="F3527" s="47">
        <v>4.04</v>
      </c>
      <c r="G3527" s="57"/>
      <c r="H3527" s="21"/>
      <c r="I3527" s="55"/>
      <c r="J3527" s="56"/>
      <c r="K3527" s="354">
        <v>2</v>
      </c>
      <c r="L3527" s="649">
        <f t="shared" si="246"/>
        <v>0.33935999999999999</v>
      </c>
    </row>
    <row r="3528" spans="2:12" ht="15.75">
      <c r="B3528" s="819" t="s">
        <v>886</v>
      </c>
      <c r="C3528" s="228"/>
      <c r="D3528" s="228"/>
      <c r="E3528" s="230"/>
      <c r="F3528" s="231"/>
      <c r="G3528" s="232"/>
      <c r="H3528" s="229"/>
      <c r="I3528" s="233"/>
      <c r="J3528" s="234"/>
      <c r="K3528" s="235"/>
      <c r="L3528" s="820"/>
    </row>
    <row r="3529" spans="2:12" ht="16.5">
      <c r="B3529" s="821" t="s">
        <v>625</v>
      </c>
      <c r="C3529" s="19"/>
      <c r="D3529" s="19">
        <v>0.3</v>
      </c>
      <c r="E3529" s="236">
        <v>0.3</v>
      </c>
      <c r="F3529" s="48">
        <f>3.06*2</f>
        <v>6.12</v>
      </c>
      <c r="G3529" s="57"/>
      <c r="H3529" s="21"/>
      <c r="I3529" s="55"/>
      <c r="J3529" s="56"/>
      <c r="K3529" s="354">
        <v>2</v>
      </c>
      <c r="L3529" s="649">
        <f t="shared" ref="L3529:L3536" si="247">PRODUCT(C3529:K3529)</f>
        <v>1.1015999999999999</v>
      </c>
    </row>
    <row r="3530" spans="2:12" ht="16.5">
      <c r="B3530" s="821" t="s">
        <v>626</v>
      </c>
      <c r="C3530" s="19"/>
      <c r="D3530" s="19">
        <v>0.3</v>
      </c>
      <c r="E3530" s="236">
        <v>0.3</v>
      </c>
      <c r="F3530" s="48">
        <f>3.06+0.3</f>
        <v>3.36</v>
      </c>
      <c r="G3530" s="57"/>
      <c r="H3530" s="21"/>
      <c r="I3530" s="55"/>
      <c r="J3530" s="56"/>
      <c r="K3530" s="354">
        <v>2</v>
      </c>
      <c r="L3530" s="649">
        <f t="shared" si="247"/>
        <v>0.6048</v>
      </c>
    </row>
    <row r="3531" spans="2:12" ht="16.5">
      <c r="B3531" s="821" t="s">
        <v>627</v>
      </c>
      <c r="C3531" s="19"/>
      <c r="D3531" s="19">
        <v>0.3</v>
      </c>
      <c r="E3531" s="236">
        <v>0.3</v>
      </c>
      <c r="F3531" s="48">
        <f>3+0.66</f>
        <v>3.66</v>
      </c>
      <c r="G3531" s="57"/>
      <c r="H3531" s="21"/>
      <c r="I3531" s="55"/>
      <c r="J3531" s="56"/>
      <c r="K3531" s="354">
        <v>2</v>
      </c>
      <c r="L3531" s="649">
        <f t="shared" si="247"/>
        <v>0.65880000000000005</v>
      </c>
    </row>
    <row r="3532" spans="2:12" ht="16.5">
      <c r="B3532" s="821" t="s">
        <v>628</v>
      </c>
      <c r="C3532" s="19"/>
      <c r="D3532" s="19">
        <v>0.3</v>
      </c>
      <c r="E3532" s="236">
        <v>0.3</v>
      </c>
      <c r="F3532" s="48">
        <f>3.26+4.16+3.8</f>
        <v>11.219999999999999</v>
      </c>
      <c r="G3532" s="57"/>
      <c r="H3532" s="21"/>
      <c r="I3532" s="55"/>
      <c r="J3532" s="56"/>
      <c r="K3532" s="354">
        <v>2</v>
      </c>
      <c r="L3532" s="649">
        <f t="shared" si="247"/>
        <v>2.0195999999999996</v>
      </c>
    </row>
    <row r="3533" spans="2:12" ht="16.5">
      <c r="B3533" s="821" t="s">
        <v>629</v>
      </c>
      <c r="C3533" s="19"/>
      <c r="D3533" s="19">
        <v>0.3</v>
      </c>
      <c r="E3533" s="236">
        <v>0.3</v>
      </c>
      <c r="F3533" s="48">
        <f>4.16+3.26</f>
        <v>7.42</v>
      </c>
      <c r="G3533" s="57"/>
      <c r="H3533" s="21"/>
      <c r="I3533" s="55"/>
      <c r="J3533" s="56"/>
      <c r="K3533" s="354">
        <v>2</v>
      </c>
      <c r="L3533" s="649">
        <f t="shared" si="247"/>
        <v>1.3355999999999999</v>
      </c>
    </row>
    <row r="3534" spans="2:12" ht="16.5">
      <c r="B3534" s="821" t="s">
        <v>630</v>
      </c>
      <c r="C3534" s="19"/>
      <c r="D3534" s="19">
        <v>0.3</v>
      </c>
      <c r="E3534" s="236">
        <v>0.3</v>
      </c>
      <c r="F3534" s="47">
        <v>3.74</v>
      </c>
      <c r="G3534" s="57"/>
      <c r="H3534" s="21"/>
      <c r="I3534" s="55"/>
      <c r="J3534" s="56"/>
      <c r="K3534" s="354">
        <v>2</v>
      </c>
      <c r="L3534" s="649">
        <f t="shared" si="247"/>
        <v>0.67320000000000002</v>
      </c>
    </row>
    <row r="3535" spans="2:12" ht="16.5">
      <c r="B3535" s="821" t="s">
        <v>633</v>
      </c>
      <c r="C3535" s="19"/>
      <c r="D3535" s="19">
        <v>0.12</v>
      </c>
      <c r="E3535" s="236">
        <v>0.3</v>
      </c>
      <c r="F3535" s="47">
        <v>3.74</v>
      </c>
      <c r="G3535" s="57"/>
      <c r="H3535" s="21"/>
      <c r="I3535" s="55"/>
      <c r="J3535" s="56"/>
      <c r="K3535" s="354">
        <v>2</v>
      </c>
      <c r="L3535" s="649">
        <f t="shared" si="247"/>
        <v>0.26928000000000002</v>
      </c>
    </row>
    <row r="3536" spans="2:12" ht="16.5">
      <c r="B3536" s="822" t="s">
        <v>888</v>
      </c>
      <c r="C3536" s="19"/>
      <c r="D3536" s="19"/>
      <c r="E3536" s="236"/>
      <c r="F3536" s="47"/>
      <c r="G3536" s="57"/>
      <c r="H3536" s="21"/>
      <c r="I3536" s="55"/>
      <c r="J3536" s="56"/>
      <c r="K3536" s="354">
        <v>2</v>
      </c>
      <c r="L3536" s="649">
        <f t="shared" si="247"/>
        <v>2</v>
      </c>
    </row>
    <row r="3537" spans="2:12" ht="16.5">
      <c r="B3537" s="823"/>
      <c r="C3537" s="19"/>
      <c r="D3537" s="19"/>
      <c r="E3537" s="48"/>
      <c r="F3537" s="47"/>
      <c r="G3537" s="57"/>
      <c r="H3537" s="21"/>
      <c r="I3537" s="55"/>
      <c r="J3537" s="56"/>
      <c r="K3537" s="5"/>
      <c r="L3537" s="649"/>
    </row>
    <row r="3538" spans="2:12" ht="15.75">
      <c r="B3538" s="658" t="s">
        <v>907</v>
      </c>
      <c r="C3538" s="19"/>
      <c r="D3538" s="19"/>
      <c r="E3538" s="48"/>
      <c r="F3538" s="47"/>
      <c r="G3538" s="57"/>
      <c r="H3538" s="21"/>
      <c r="I3538" s="55"/>
      <c r="J3538" s="56"/>
      <c r="K3538" s="5"/>
      <c r="L3538" s="649"/>
    </row>
    <row r="3539" spans="2:12" ht="16.5">
      <c r="B3539" s="821" t="s">
        <v>625</v>
      </c>
      <c r="C3539" s="19"/>
      <c r="D3539" s="19">
        <v>0.3</v>
      </c>
      <c r="E3539" s="236">
        <v>0.3</v>
      </c>
      <c r="F3539" s="48">
        <f>3.06*2</f>
        <v>6.12</v>
      </c>
      <c r="G3539" s="57"/>
      <c r="H3539" s="21"/>
      <c r="I3539" s="55"/>
      <c r="J3539" s="56"/>
      <c r="K3539" s="354">
        <v>4</v>
      </c>
      <c r="L3539" s="649">
        <f t="shared" ref="L3539:L3546" si="248">PRODUCT(C3539:K3539)</f>
        <v>2.2031999999999998</v>
      </c>
    </row>
    <row r="3540" spans="2:12" ht="16.5">
      <c r="B3540" s="821" t="s">
        <v>626</v>
      </c>
      <c r="C3540" s="19"/>
      <c r="D3540" s="19">
        <v>0.3</v>
      </c>
      <c r="E3540" s="236">
        <v>0.3</v>
      </c>
      <c r="F3540" s="48">
        <f>3.06+0.3</f>
        <v>3.36</v>
      </c>
      <c r="G3540" s="57"/>
      <c r="H3540" s="21"/>
      <c r="I3540" s="55"/>
      <c r="J3540" s="56"/>
      <c r="K3540" s="354">
        <v>4</v>
      </c>
      <c r="L3540" s="649">
        <f t="shared" si="248"/>
        <v>1.2096</v>
      </c>
    </row>
    <row r="3541" spans="2:12" ht="16.5">
      <c r="B3541" s="821" t="s">
        <v>627</v>
      </c>
      <c r="C3541" s="19"/>
      <c r="D3541" s="19">
        <v>0.3</v>
      </c>
      <c r="E3541" s="236">
        <v>0.3</v>
      </c>
      <c r="F3541" s="48">
        <f>3+0.66</f>
        <v>3.66</v>
      </c>
      <c r="G3541" s="57"/>
      <c r="H3541" s="21"/>
      <c r="I3541" s="55"/>
      <c r="J3541" s="56"/>
      <c r="K3541" s="354">
        <v>4</v>
      </c>
      <c r="L3541" s="649">
        <f t="shared" si="248"/>
        <v>1.3176000000000001</v>
      </c>
    </row>
    <row r="3542" spans="2:12" ht="16.5">
      <c r="B3542" s="821" t="s">
        <v>628</v>
      </c>
      <c r="C3542" s="19"/>
      <c r="D3542" s="19">
        <v>0.3</v>
      </c>
      <c r="E3542" s="236">
        <v>0.3</v>
      </c>
      <c r="F3542" s="48">
        <f>3.26+4.16+3.8</f>
        <v>11.219999999999999</v>
      </c>
      <c r="G3542" s="57"/>
      <c r="H3542" s="21"/>
      <c r="I3542" s="55"/>
      <c r="J3542" s="56"/>
      <c r="K3542" s="354">
        <v>4</v>
      </c>
      <c r="L3542" s="649">
        <f t="shared" si="248"/>
        <v>4.0391999999999992</v>
      </c>
    </row>
    <row r="3543" spans="2:12" ht="16.5">
      <c r="B3543" s="821" t="s">
        <v>629</v>
      </c>
      <c r="C3543" s="19"/>
      <c r="D3543" s="19">
        <v>0.3</v>
      </c>
      <c r="E3543" s="236">
        <v>0.3</v>
      </c>
      <c r="F3543" s="48">
        <f>4.16+3.26</f>
        <v>7.42</v>
      </c>
      <c r="G3543" s="57"/>
      <c r="H3543" s="21"/>
      <c r="I3543" s="55"/>
      <c r="J3543" s="56"/>
      <c r="K3543" s="354">
        <v>4</v>
      </c>
      <c r="L3543" s="649">
        <f t="shared" si="248"/>
        <v>2.6711999999999998</v>
      </c>
    </row>
    <row r="3544" spans="2:12" ht="16.5">
      <c r="B3544" s="821" t="s">
        <v>630</v>
      </c>
      <c r="C3544" s="19"/>
      <c r="D3544" s="19">
        <v>0.3</v>
      </c>
      <c r="E3544" s="236">
        <v>0.3</v>
      </c>
      <c r="F3544" s="47">
        <v>3.74</v>
      </c>
      <c r="G3544" s="57"/>
      <c r="H3544" s="21"/>
      <c r="I3544" s="55"/>
      <c r="J3544" s="56"/>
      <c r="K3544" s="354">
        <v>4</v>
      </c>
      <c r="L3544" s="649">
        <f t="shared" si="248"/>
        <v>1.3464</v>
      </c>
    </row>
    <row r="3545" spans="2:12" ht="16.5">
      <c r="B3545" s="821" t="s">
        <v>633</v>
      </c>
      <c r="C3545" s="19"/>
      <c r="D3545" s="19">
        <v>0.12</v>
      </c>
      <c r="E3545" s="236">
        <v>0.3</v>
      </c>
      <c r="F3545" s="47">
        <v>3.74</v>
      </c>
      <c r="G3545" s="57"/>
      <c r="H3545" s="21"/>
      <c r="I3545" s="55"/>
      <c r="J3545" s="56"/>
      <c r="K3545" s="354">
        <v>4</v>
      </c>
      <c r="L3545" s="649">
        <f t="shared" si="248"/>
        <v>0.53856000000000004</v>
      </c>
    </row>
    <row r="3546" spans="2:12" ht="16.5">
      <c r="B3546" s="822" t="s">
        <v>888</v>
      </c>
      <c r="C3546" s="19"/>
      <c r="D3546" s="19"/>
      <c r="E3546" s="236"/>
      <c r="F3546" s="47"/>
      <c r="G3546" s="57"/>
      <c r="H3546" s="21"/>
      <c r="I3546" s="55"/>
      <c r="J3546" s="56"/>
      <c r="K3546" s="354">
        <v>4</v>
      </c>
      <c r="L3546" s="649">
        <f t="shared" si="248"/>
        <v>4</v>
      </c>
    </row>
    <row r="3547" spans="2:12" ht="15.75">
      <c r="B3547" s="658" t="s">
        <v>853</v>
      </c>
      <c r="C3547" s="19"/>
      <c r="D3547" s="19"/>
      <c r="E3547" s="48"/>
      <c r="F3547" s="47"/>
      <c r="G3547" s="57"/>
      <c r="H3547" s="21"/>
      <c r="I3547" s="55"/>
      <c r="J3547" s="56"/>
      <c r="K3547" s="5"/>
      <c r="L3547" s="649"/>
    </row>
    <row r="3548" spans="2:12" ht="16.5">
      <c r="B3548" s="821" t="s">
        <v>625</v>
      </c>
      <c r="C3548" s="19"/>
      <c r="D3548" s="19">
        <v>0.3</v>
      </c>
      <c r="E3548" s="236">
        <v>0.3</v>
      </c>
      <c r="F3548" s="48">
        <f>3.06</f>
        <v>3.06</v>
      </c>
      <c r="G3548" s="57"/>
      <c r="H3548" s="47"/>
      <c r="I3548" s="55"/>
      <c r="J3548" s="56"/>
      <c r="K3548" s="354">
        <v>2</v>
      </c>
      <c r="L3548" s="649">
        <f t="shared" ref="L3548:L3555" si="249">PRODUCT(C3548:K3548)</f>
        <v>0.55079999999999996</v>
      </c>
    </row>
    <row r="3549" spans="2:12" ht="16.5">
      <c r="B3549" s="821" t="s">
        <v>626</v>
      </c>
      <c r="C3549" s="19"/>
      <c r="D3549" s="19">
        <v>0.3</v>
      </c>
      <c r="E3549" s="236">
        <v>0.3</v>
      </c>
      <c r="F3549" s="48">
        <f>3.06+0.3</f>
        <v>3.36</v>
      </c>
      <c r="G3549" s="57"/>
      <c r="H3549" s="47"/>
      <c r="I3549" s="55"/>
      <c r="J3549" s="56"/>
      <c r="K3549" s="354">
        <v>2</v>
      </c>
      <c r="L3549" s="649">
        <f t="shared" si="249"/>
        <v>0.6048</v>
      </c>
    </row>
    <row r="3550" spans="2:12" ht="16.5">
      <c r="B3550" s="821" t="s">
        <v>627</v>
      </c>
      <c r="C3550" s="19"/>
      <c r="D3550" s="19">
        <v>0.3</v>
      </c>
      <c r="E3550" s="236">
        <v>0.3</v>
      </c>
      <c r="F3550" s="48">
        <f>3+0.66</f>
        <v>3.66</v>
      </c>
      <c r="G3550" s="57"/>
      <c r="H3550" s="47"/>
      <c r="I3550" s="55"/>
      <c r="J3550" s="56"/>
      <c r="K3550" s="354">
        <v>2</v>
      </c>
      <c r="L3550" s="649">
        <f t="shared" si="249"/>
        <v>0.65880000000000005</v>
      </c>
    </row>
    <row r="3551" spans="2:12" ht="16.5">
      <c r="B3551" s="821" t="s">
        <v>628</v>
      </c>
      <c r="C3551" s="19"/>
      <c r="D3551" s="19">
        <v>0.3</v>
      </c>
      <c r="E3551" s="236">
        <v>0.3</v>
      </c>
      <c r="F3551" s="48">
        <f>3.86</f>
        <v>3.86</v>
      </c>
      <c r="G3551" s="57"/>
      <c r="H3551" s="47"/>
      <c r="I3551" s="55"/>
      <c r="J3551" s="56"/>
      <c r="K3551" s="354">
        <v>2</v>
      </c>
      <c r="L3551" s="649">
        <f t="shared" si="249"/>
        <v>0.69479999999999997</v>
      </c>
    </row>
    <row r="3552" spans="2:12" ht="16.5">
      <c r="B3552" s="821" t="s">
        <v>629</v>
      </c>
      <c r="C3552" s="19"/>
      <c r="D3552" s="19">
        <v>0.3</v>
      </c>
      <c r="E3552" s="236">
        <v>0.3</v>
      </c>
      <c r="F3552" s="48">
        <f>3.86</f>
        <v>3.86</v>
      </c>
      <c r="G3552" s="57"/>
      <c r="H3552" s="47"/>
      <c r="I3552" s="55"/>
      <c r="J3552" s="56"/>
      <c r="K3552" s="354">
        <v>2</v>
      </c>
      <c r="L3552" s="649">
        <f t="shared" si="249"/>
        <v>0.69479999999999997</v>
      </c>
    </row>
    <row r="3553" spans="2:12" ht="16.5">
      <c r="B3553" s="821" t="s">
        <v>630</v>
      </c>
      <c r="C3553" s="19"/>
      <c r="D3553" s="19">
        <v>0.3</v>
      </c>
      <c r="E3553" s="236">
        <v>0.3</v>
      </c>
      <c r="F3553" s="47">
        <v>3.74</v>
      </c>
      <c r="G3553" s="57"/>
      <c r="H3553" s="47"/>
      <c r="I3553" s="55"/>
      <c r="J3553" s="56"/>
      <c r="K3553" s="354">
        <v>2</v>
      </c>
      <c r="L3553" s="649">
        <f t="shared" si="249"/>
        <v>0.67320000000000002</v>
      </c>
    </row>
    <row r="3554" spans="2:12" ht="16.5">
      <c r="B3554" s="821" t="s">
        <v>633</v>
      </c>
      <c r="C3554" s="19"/>
      <c r="D3554" s="19">
        <v>0.12</v>
      </c>
      <c r="E3554" s="236">
        <v>0.3</v>
      </c>
      <c r="F3554" s="47">
        <v>3.74</v>
      </c>
      <c r="G3554" s="57"/>
      <c r="H3554" s="47"/>
      <c r="I3554" s="55"/>
      <c r="J3554" s="56"/>
      <c r="K3554" s="354">
        <v>2</v>
      </c>
      <c r="L3554" s="649">
        <f t="shared" si="249"/>
        <v>0.26928000000000002</v>
      </c>
    </row>
    <row r="3555" spans="2:12" ht="16.5">
      <c r="B3555" s="822" t="s">
        <v>888</v>
      </c>
      <c r="C3555" s="19"/>
      <c r="D3555" s="19"/>
      <c r="E3555" s="236"/>
      <c r="F3555" s="47"/>
      <c r="G3555" s="57"/>
      <c r="H3555" s="47"/>
      <c r="I3555" s="55"/>
      <c r="J3555" s="56"/>
      <c r="K3555" s="354"/>
      <c r="L3555" s="649">
        <f t="shared" si="249"/>
        <v>0</v>
      </c>
    </row>
    <row r="3556" spans="2:12" ht="15.75">
      <c r="B3556" s="815" t="s">
        <v>895</v>
      </c>
      <c r="C3556" s="19"/>
      <c r="D3556" s="19"/>
      <c r="E3556" s="48"/>
      <c r="F3556" s="47"/>
      <c r="G3556" s="57"/>
      <c r="H3556" s="21"/>
      <c r="I3556" s="55"/>
      <c r="J3556" s="56"/>
      <c r="K3556" s="354"/>
      <c r="L3556" s="649"/>
    </row>
    <row r="3557" spans="2:12" ht="16.5">
      <c r="B3557" s="799" t="s">
        <v>625</v>
      </c>
      <c r="C3557" s="19"/>
      <c r="D3557" s="19">
        <v>0.4</v>
      </c>
      <c r="E3557" s="48">
        <v>0.25</v>
      </c>
      <c r="F3557" s="47">
        <f>17.1*2</f>
        <v>34.200000000000003</v>
      </c>
      <c r="G3557" s="57"/>
      <c r="H3557" s="21"/>
      <c r="I3557" s="55"/>
      <c r="J3557" s="56">
        <v>4</v>
      </c>
      <c r="K3557" s="5">
        <v>2</v>
      </c>
      <c r="L3557" s="649">
        <f t="shared" ref="L3557:L3561" si="250">PRODUCT(C3557:K3557)</f>
        <v>27.360000000000003</v>
      </c>
    </row>
    <row r="3558" spans="2:12" ht="16.5">
      <c r="B3558" s="799" t="s">
        <v>626</v>
      </c>
      <c r="C3558" s="19"/>
      <c r="D3558" s="19">
        <v>0.4</v>
      </c>
      <c r="E3558" s="48">
        <v>0.25</v>
      </c>
      <c r="F3558" s="47">
        <v>14.11</v>
      </c>
      <c r="G3558" s="57"/>
      <c r="H3558" s="21"/>
      <c r="I3558" s="55"/>
      <c r="J3558" s="56"/>
      <c r="K3558" s="5">
        <v>2</v>
      </c>
      <c r="L3558" s="649">
        <f t="shared" si="250"/>
        <v>2.8220000000000001</v>
      </c>
    </row>
    <row r="3559" spans="2:12" ht="16.5">
      <c r="B3559" s="799" t="s">
        <v>627</v>
      </c>
      <c r="C3559" s="19"/>
      <c r="D3559" s="19">
        <v>0.4</v>
      </c>
      <c r="E3559" s="48">
        <v>0.25</v>
      </c>
      <c r="F3559" s="47">
        <v>18.600000000000001</v>
      </c>
      <c r="G3559" s="57"/>
      <c r="H3559" s="21"/>
      <c r="I3559" s="55"/>
      <c r="J3559" s="56"/>
      <c r="K3559" s="5">
        <v>2</v>
      </c>
      <c r="L3559" s="649">
        <f t="shared" si="250"/>
        <v>3.7200000000000006</v>
      </c>
    </row>
    <row r="3560" spans="2:12" ht="16.5">
      <c r="B3560" s="799" t="s">
        <v>628</v>
      </c>
      <c r="C3560" s="19"/>
      <c r="D3560" s="19">
        <v>0.4</v>
      </c>
      <c r="E3560" s="48">
        <v>0.25</v>
      </c>
      <c r="F3560" s="47">
        <v>14.2</v>
      </c>
      <c r="G3560" s="57"/>
      <c r="H3560" s="21"/>
      <c r="I3560" s="55"/>
      <c r="J3560" s="56"/>
      <c r="K3560" s="5">
        <v>2</v>
      </c>
      <c r="L3560" s="649">
        <f t="shared" si="250"/>
        <v>2.84</v>
      </c>
    </row>
    <row r="3561" spans="2:12" ht="16.5">
      <c r="B3561" s="799" t="s">
        <v>629</v>
      </c>
      <c r="C3561" s="19"/>
      <c r="D3561" s="19">
        <v>0.4</v>
      </c>
      <c r="E3561" s="48">
        <v>0.25</v>
      </c>
      <c r="F3561" s="47">
        <v>18.600000000000001</v>
      </c>
      <c r="G3561" s="57"/>
      <c r="H3561" s="21"/>
      <c r="I3561" s="55"/>
      <c r="J3561" s="56"/>
      <c r="K3561" s="5">
        <v>2</v>
      </c>
      <c r="L3561" s="649">
        <f t="shared" si="250"/>
        <v>3.7200000000000006</v>
      </c>
    </row>
    <row r="3562" spans="2:12" ht="16.5">
      <c r="B3562" s="824"/>
      <c r="C3562" s="455"/>
      <c r="D3562" s="455"/>
      <c r="E3562" s="59"/>
      <c r="F3562" s="456"/>
      <c r="G3562" s="457"/>
      <c r="H3562" s="825"/>
      <c r="I3562" s="280"/>
      <c r="J3562" s="458"/>
      <c r="K3562" s="354"/>
      <c r="L3562" s="649"/>
    </row>
    <row r="3563" spans="2:12" ht="15.75">
      <c r="B3563" s="662" t="s">
        <v>975</v>
      </c>
      <c r="C3563" s="19"/>
      <c r="D3563" s="20"/>
      <c r="E3563" s="376"/>
      <c r="F3563" s="23"/>
      <c r="G3563" s="57"/>
      <c r="H3563" s="21"/>
      <c r="I3563" s="55"/>
      <c r="J3563" s="56"/>
      <c r="K3563" s="354"/>
      <c r="L3563" s="649"/>
    </row>
    <row r="3564" spans="2:12" ht="15">
      <c r="B3564" s="662" t="s">
        <v>666</v>
      </c>
      <c r="C3564" s="269"/>
      <c r="D3564" s="20">
        <v>0.25</v>
      </c>
      <c r="E3564" s="20">
        <v>0.5</v>
      </c>
      <c r="F3564" s="20">
        <v>4.5</v>
      </c>
      <c r="G3564" s="270"/>
      <c r="H3564" s="271"/>
      <c r="I3564" s="35">
        <v>2</v>
      </c>
      <c r="J3564" s="22">
        <v>4</v>
      </c>
      <c r="K3564" s="17"/>
      <c r="L3564" s="649">
        <f t="shared" ref="L3564:L3565" si="251">PRODUCT(C3564:K3564)</f>
        <v>4.5</v>
      </c>
    </row>
    <row r="3565" spans="2:12" ht="15">
      <c r="B3565" s="662" t="s">
        <v>667</v>
      </c>
      <c r="C3565" s="269"/>
      <c r="D3565" s="20">
        <v>0.25</v>
      </c>
      <c r="E3565" s="20">
        <v>0.53</v>
      </c>
      <c r="F3565" s="20">
        <v>3.5</v>
      </c>
      <c r="G3565" s="270"/>
      <c r="H3565" s="271"/>
      <c r="I3565" s="35">
        <v>2</v>
      </c>
      <c r="J3565" s="22">
        <v>4</v>
      </c>
      <c r="K3565" s="17"/>
      <c r="L3565" s="649">
        <f t="shared" si="251"/>
        <v>3.71</v>
      </c>
    </row>
    <row r="3566" spans="2:12" ht="16.5">
      <c r="B3566" s="824"/>
      <c r="C3566" s="455"/>
      <c r="D3566" s="455"/>
      <c r="E3566" s="59"/>
      <c r="F3566" s="456"/>
      <c r="G3566" s="457"/>
      <c r="H3566" s="825"/>
      <c r="I3566" s="280"/>
      <c r="J3566" s="458"/>
      <c r="K3566" s="354"/>
      <c r="L3566" s="649"/>
    </row>
    <row r="3567" spans="2:12" ht="15.75">
      <c r="B3567" s="981" t="s">
        <v>414</v>
      </c>
      <c r="C3567" s="982"/>
      <c r="D3567" s="982"/>
      <c r="E3567" s="982"/>
      <c r="F3567" s="982"/>
      <c r="G3567" s="982"/>
      <c r="H3567" s="982"/>
      <c r="I3567" s="982"/>
      <c r="J3567" s="982"/>
      <c r="K3567" s="982"/>
      <c r="L3567" s="983"/>
    </row>
    <row r="3568" spans="2:12">
      <c r="B3568" s="651"/>
      <c r="L3568" s="652"/>
    </row>
    <row r="3569" spans="2:12" ht="15.6" customHeight="1">
      <c r="B3569" s="638" t="s">
        <v>398</v>
      </c>
      <c r="C3569" s="8">
        <v>3</v>
      </c>
      <c r="D3569" s="1008" t="s">
        <v>1038</v>
      </c>
      <c r="E3569" s="1009"/>
      <c r="F3569" s="1009"/>
      <c r="G3569" s="1009"/>
      <c r="H3569" s="1009"/>
      <c r="I3569" s="1009"/>
      <c r="J3569" s="1009"/>
      <c r="K3569" s="1009"/>
      <c r="L3569" s="1010"/>
    </row>
    <row r="3570" spans="2:12" ht="15">
      <c r="B3570" s="1005"/>
      <c r="C3570" s="1006"/>
      <c r="D3570" s="1006"/>
      <c r="E3570" s="1006"/>
      <c r="F3570" s="1006"/>
      <c r="G3570" s="1006"/>
      <c r="H3570" s="1006"/>
      <c r="I3570" s="1006"/>
      <c r="J3570" s="1006"/>
      <c r="K3570" s="1006"/>
      <c r="L3570" s="1007"/>
    </row>
    <row r="3571" spans="2:12" ht="47.25">
      <c r="B3571" s="653" t="s">
        <v>399</v>
      </c>
      <c r="C3571" s="201">
        <f>+'PROPUESTA ECONOMICA(Proponente)'!C401</f>
        <v>3.6</v>
      </c>
      <c r="D3571" s="12" t="str">
        <f>+VLOOKUP('MEMORIAS DE CANTIDADES'!C3571,'PROPUESTA ECONOMICA(Proponente)'!$C$379:$H$661,5,FALSE)</f>
        <v>COLUMNAS DE CONCRETO A LA VISTA: Concreto  de 4000 PSI  (incluye suministro, formaletería e instalación).</v>
      </c>
      <c r="E3571" s="13"/>
      <c r="F3571" s="12"/>
      <c r="G3571" s="12"/>
      <c r="H3571" s="12"/>
      <c r="I3571" s="11" t="s">
        <v>400</v>
      </c>
      <c r="J3571" s="12" t="str">
        <f>+VLOOKUP('MEMORIAS DE CANTIDADES'!C3571,'PROPUESTA ECONOMICA(Proponente)'!$C$379:$H$661,6,FALSE)</f>
        <v>M3</v>
      </c>
      <c r="K3571" s="11" t="s">
        <v>401</v>
      </c>
      <c r="L3571" s="643">
        <f>SUM(L3572:L3592)</f>
        <v>52.103249999999996</v>
      </c>
    </row>
    <row r="3572" spans="2:12" ht="15">
      <c r="B3572" s="644"/>
      <c r="C3572" s="16"/>
      <c r="D3572" s="15"/>
      <c r="E3572" s="15"/>
      <c r="F3572" s="15"/>
      <c r="G3572" s="15"/>
      <c r="H3572" s="15"/>
      <c r="I3572" s="15"/>
      <c r="J3572" s="15"/>
      <c r="K3572" s="17"/>
      <c r="L3572" s="645"/>
    </row>
    <row r="3573" spans="2:12" ht="47.25">
      <c r="B3573" s="646" t="s">
        <v>402</v>
      </c>
      <c r="C3573" s="18" t="s">
        <v>403</v>
      </c>
      <c r="D3573" s="18" t="s">
        <v>404</v>
      </c>
      <c r="E3573" s="18" t="s">
        <v>405</v>
      </c>
      <c r="F3573" s="18" t="s">
        <v>406</v>
      </c>
      <c r="G3573" s="18" t="s">
        <v>407</v>
      </c>
      <c r="H3573" s="5" t="s">
        <v>408</v>
      </c>
      <c r="I3573" s="18" t="s">
        <v>409</v>
      </c>
      <c r="J3573" s="5" t="s">
        <v>410</v>
      </c>
      <c r="K3573" s="5" t="s">
        <v>411</v>
      </c>
      <c r="L3573" s="647" t="s">
        <v>412</v>
      </c>
    </row>
    <row r="3574" spans="2:12" ht="16.5">
      <c r="B3574" s="658" t="s">
        <v>438</v>
      </c>
      <c r="C3574" s="18"/>
      <c r="D3574" s="18"/>
      <c r="E3574" s="18"/>
      <c r="G3574" s="18"/>
      <c r="H3574" s="5"/>
      <c r="I3574" s="41"/>
      <c r="J3574" s="46"/>
      <c r="K3574" s="5"/>
      <c r="L3574" s="649"/>
    </row>
    <row r="3575" spans="2:12" ht="16.5">
      <c r="B3575" s="708" t="s">
        <v>443</v>
      </c>
      <c r="C3575" s="48"/>
      <c r="D3575" s="48">
        <v>0.5</v>
      </c>
      <c r="E3575" s="48">
        <v>5.8</v>
      </c>
      <c r="F3575" s="45">
        <v>0.5</v>
      </c>
      <c r="G3575" s="48"/>
      <c r="H3575" s="30"/>
      <c r="I3575" s="41">
        <v>2</v>
      </c>
      <c r="J3575" s="46"/>
      <c r="K3575" s="30"/>
      <c r="L3575" s="649">
        <f t="shared" ref="L3575:L3578" si="252">PRODUCT(C3575:K3575)</f>
        <v>2.9</v>
      </c>
    </row>
    <row r="3576" spans="2:12" ht="16.5">
      <c r="B3576" s="708" t="s">
        <v>444</v>
      </c>
      <c r="C3576" s="48"/>
      <c r="D3576" s="48">
        <v>0.5</v>
      </c>
      <c r="E3576" s="48">
        <v>5.8</v>
      </c>
      <c r="F3576" s="45">
        <v>0.5</v>
      </c>
      <c r="G3576" s="48"/>
      <c r="H3576" s="30"/>
      <c r="I3576" s="41">
        <v>2</v>
      </c>
      <c r="J3576" s="46"/>
      <c r="K3576" s="30"/>
      <c r="L3576" s="649">
        <f t="shared" si="252"/>
        <v>2.9</v>
      </c>
    </row>
    <row r="3577" spans="2:12" ht="16.5">
      <c r="B3577" s="708" t="s">
        <v>445</v>
      </c>
      <c r="C3577" s="48">
        <v>0.2</v>
      </c>
      <c r="D3577" s="48"/>
      <c r="E3577" s="48">
        <v>5.8</v>
      </c>
      <c r="F3577" s="45"/>
      <c r="G3577" s="48"/>
      <c r="H3577" s="30"/>
      <c r="I3577" s="41">
        <v>2</v>
      </c>
      <c r="J3577" s="46"/>
      <c r="K3577" s="30"/>
      <c r="L3577" s="649">
        <f t="shared" si="252"/>
        <v>2.3199999999999998</v>
      </c>
    </row>
    <row r="3578" spans="2:12" ht="16.5">
      <c r="B3578" s="708" t="s">
        <v>446</v>
      </c>
      <c r="C3578" s="48"/>
      <c r="D3578" s="48">
        <v>0.25</v>
      </c>
      <c r="E3578" s="48">
        <v>4.25</v>
      </c>
      <c r="F3578" s="45">
        <v>0.25</v>
      </c>
      <c r="G3578" s="48"/>
      <c r="H3578" s="30"/>
      <c r="I3578" s="41">
        <v>2</v>
      </c>
      <c r="J3578" s="46"/>
      <c r="K3578" s="30"/>
      <c r="L3578" s="649">
        <f t="shared" si="252"/>
        <v>0.53125</v>
      </c>
    </row>
    <row r="3579" spans="2:12" ht="16.5">
      <c r="B3579" s="708"/>
      <c r="C3579" s="48"/>
      <c r="D3579" s="48"/>
      <c r="E3579" s="48"/>
      <c r="F3579" s="45"/>
      <c r="G3579" s="48"/>
      <c r="H3579" s="30"/>
      <c r="I3579" s="41"/>
      <c r="J3579" s="46"/>
      <c r="K3579" s="30"/>
      <c r="L3579" s="649"/>
    </row>
    <row r="3580" spans="2:12" ht="16.5">
      <c r="B3580" s="708"/>
      <c r="C3580" s="48"/>
      <c r="D3580" s="48"/>
      <c r="E3580" s="48"/>
      <c r="F3580" s="45"/>
      <c r="G3580" s="48"/>
      <c r="H3580" s="30"/>
      <c r="I3580" s="41"/>
      <c r="J3580" s="46"/>
      <c r="K3580" s="30"/>
      <c r="L3580" s="649"/>
    </row>
    <row r="3581" spans="2:12" ht="16.5">
      <c r="B3581" s="658" t="s">
        <v>464</v>
      </c>
      <c r="C3581" s="48"/>
      <c r="D3581" s="48"/>
      <c r="E3581" s="48"/>
      <c r="F3581" s="49"/>
      <c r="G3581" s="48"/>
      <c r="H3581" s="30"/>
      <c r="I3581" s="41"/>
      <c r="J3581" s="46"/>
      <c r="K3581" s="30"/>
      <c r="L3581" s="649"/>
    </row>
    <row r="3582" spans="2:12" ht="16.5">
      <c r="B3582" s="734" t="s">
        <v>467</v>
      </c>
      <c r="C3582" s="50"/>
      <c r="D3582" s="59">
        <v>0.5</v>
      </c>
      <c r="E3582" s="59">
        <v>5.75</v>
      </c>
      <c r="F3582" s="51">
        <v>0.5</v>
      </c>
      <c r="G3582" s="50"/>
      <c r="H3582" s="5"/>
      <c r="I3582" s="41">
        <v>2</v>
      </c>
      <c r="J3582" s="54"/>
      <c r="K3582" s="52">
        <v>2</v>
      </c>
      <c r="L3582" s="649">
        <f t="shared" ref="L3582:L3587" si="253">PRODUCT(C3582:K3582)</f>
        <v>5.75</v>
      </c>
    </row>
    <row r="3583" spans="2:12" ht="16.5">
      <c r="B3583" s="812" t="s">
        <v>468</v>
      </c>
      <c r="C3583" s="351"/>
      <c r="D3583" s="48">
        <v>0.5</v>
      </c>
      <c r="E3583" s="59">
        <v>5.75</v>
      </c>
      <c r="F3583" s="49">
        <v>0.5</v>
      </c>
      <c r="G3583" s="351"/>
      <c r="H3583" s="5"/>
      <c r="I3583" s="41">
        <v>2</v>
      </c>
      <c r="J3583" s="355"/>
      <c r="K3583" s="354">
        <v>2</v>
      </c>
      <c r="L3583" s="649">
        <f t="shared" si="253"/>
        <v>5.75</v>
      </c>
    </row>
    <row r="3584" spans="2:12" ht="16.5">
      <c r="B3584" s="708" t="s">
        <v>469</v>
      </c>
      <c r="C3584" s="351"/>
      <c r="D3584" s="352">
        <v>0.25</v>
      </c>
      <c r="E3584" s="59">
        <v>4.25</v>
      </c>
      <c r="F3584" s="353">
        <v>0.25</v>
      </c>
      <c r="G3584" s="351"/>
      <c r="H3584" s="5"/>
      <c r="I3584" s="41">
        <v>2</v>
      </c>
      <c r="J3584" s="355"/>
      <c r="K3584" s="354">
        <v>2</v>
      </c>
      <c r="L3584" s="649">
        <f t="shared" si="253"/>
        <v>1.0625</v>
      </c>
    </row>
    <row r="3585" spans="2:12" ht="16.5">
      <c r="B3585" s="708"/>
      <c r="C3585" s="351"/>
      <c r="D3585" s="352"/>
      <c r="E3585" s="59"/>
      <c r="F3585" s="353"/>
      <c r="G3585" s="351"/>
      <c r="H3585" s="5"/>
      <c r="I3585" s="41"/>
      <c r="J3585" s="355"/>
      <c r="K3585" s="354"/>
      <c r="L3585" s="649"/>
    </row>
    <row r="3586" spans="2:12" ht="30">
      <c r="B3586" s="734" t="s">
        <v>908</v>
      </c>
      <c r="C3586" s="351"/>
      <c r="D3586" s="352"/>
      <c r="E3586" s="59"/>
      <c r="F3586" s="353"/>
      <c r="G3586" s="351"/>
      <c r="H3586" s="5"/>
      <c r="I3586" s="41"/>
      <c r="J3586" s="355"/>
      <c r="K3586" s="354"/>
      <c r="L3586" s="649"/>
    </row>
    <row r="3587" spans="2:12" ht="16.5">
      <c r="B3587" s="734" t="s">
        <v>602</v>
      </c>
      <c r="C3587" s="351"/>
      <c r="D3587" s="352">
        <v>0.3</v>
      </c>
      <c r="E3587" s="59">
        <v>0.3</v>
      </c>
      <c r="F3587" s="353">
        <v>4.05</v>
      </c>
      <c r="G3587" s="351"/>
      <c r="H3587" s="5"/>
      <c r="I3587" s="41">
        <v>38</v>
      </c>
      <c r="J3587" s="355"/>
      <c r="K3587" s="354">
        <v>2</v>
      </c>
      <c r="L3587" s="649">
        <f t="shared" si="253"/>
        <v>27.701999999999998</v>
      </c>
    </row>
    <row r="3588" spans="2:12" ht="16.5">
      <c r="B3588" s="734"/>
      <c r="C3588" s="351"/>
      <c r="D3588" s="352"/>
      <c r="E3588" s="59"/>
      <c r="F3588" s="353"/>
      <c r="G3588" s="351"/>
      <c r="H3588" s="5"/>
      <c r="I3588" s="41"/>
      <c r="J3588" s="355"/>
      <c r="K3588" s="354"/>
      <c r="L3588" s="649"/>
    </row>
    <row r="3589" spans="2:12" ht="15.75">
      <c r="B3589" s="717" t="s">
        <v>979</v>
      </c>
      <c r="C3589" s="18"/>
      <c r="D3589" s="48"/>
      <c r="E3589" s="59"/>
      <c r="F3589" s="45"/>
      <c r="G3589" s="18"/>
      <c r="H3589" s="5"/>
      <c r="I3589" s="55"/>
      <c r="J3589" s="56"/>
      <c r="K3589" s="5"/>
      <c r="L3589" s="649"/>
    </row>
    <row r="3590" spans="2:12" ht="16.5">
      <c r="B3590" s="708" t="s">
        <v>602</v>
      </c>
      <c r="C3590" s="48"/>
      <c r="D3590" s="48">
        <v>0.25</v>
      </c>
      <c r="E3590" s="48">
        <v>4.25</v>
      </c>
      <c r="F3590" s="45">
        <v>0.25</v>
      </c>
      <c r="G3590" s="48"/>
      <c r="H3590" s="30"/>
      <c r="I3590" s="41">
        <v>4</v>
      </c>
      <c r="J3590" s="56"/>
      <c r="K3590" s="30">
        <v>3</v>
      </c>
      <c r="L3590" s="656">
        <f>PRODUCT(C3590:K3590)</f>
        <v>3.1875</v>
      </c>
    </row>
    <row r="3591" spans="2:12" ht="16.5">
      <c r="B3591" s="708"/>
      <c r="C3591" s="18"/>
      <c r="D3591" s="48"/>
      <c r="E3591" s="48"/>
      <c r="F3591" s="45"/>
      <c r="G3591" s="18"/>
      <c r="H3591" s="5"/>
      <c r="I3591" s="41"/>
      <c r="J3591" s="46"/>
      <c r="K3591" s="5"/>
      <c r="L3591" s="649"/>
    </row>
    <row r="3592" spans="2:12" ht="16.5">
      <c r="B3592" s="708"/>
      <c r="C3592" s="18"/>
      <c r="D3592" s="48"/>
      <c r="E3592" s="48"/>
      <c r="F3592" s="45"/>
      <c r="G3592" s="18"/>
      <c r="H3592" s="5"/>
      <c r="I3592" s="41"/>
      <c r="J3592" s="46"/>
      <c r="K3592" s="5"/>
      <c r="L3592" s="649"/>
    </row>
    <row r="3593" spans="2:12">
      <c r="B3593" s="651"/>
      <c r="L3593" s="652"/>
    </row>
    <row r="3594" spans="2:12">
      <c r="B3594" s="651"/>
      <c r="L3594" s="652"/>
    </row>
    <row r="3595" spans="2:12" ht="15.6" customHeight="1">
      <c r="B3595" s="638" t="s">
        <v>398</v>
      </c>
      <c r="C3595" s="8">
        <v>3</v>
      </c>
      <c r="D3595" s="1008" t="s">
        <v>1038</v>
      </c>
      <c r="E3595" s="1009"/>
      <c r="F3595" s="1009"/>
      <c r="G3595" s="1009"/>
      <c r="H3595" s="1009"/>
      <c r="I3595" s="1009"/>
      <c r="J3595" s="1009"/>
      <c r="K3595" s="1009"/>
      <c r="L3595" s="1010"/>
    </row>
    <row r="3596" spans="2:12" ht="15">
      <c r="B3596" s="1005"/>
      <c r="C3596" s="1006"/>
      <c r="D3596" s="1006"/>
      <c r="E3596" s="1006"/>
      <c r="F3596" s="1006"/>
      <c r="G3596" s="1006"/>
      <c r="H3596" s="1006"/>
      <c r="I3596" s="1006"/>
      <c r="J3596" s="1006"/>
      <c r="K3596" s="1006"/>
      <c r="L3596" s="1007"/>
    </row>
    <row r="3597" spans="2:12" ht="31.5">
      <c r="B3597" s="653" t="s">
        <v>399</v>
      </c>
      <c r="C3597" s="11">
        <f>+'PROPUESTA ECONOMICA(Proponente)'!C402</f>
        <v>3.7</v>
      </c>
      <c r="D3597" s="12" t="str">
        <f>+VLOOKUP('MEMORIAS DE CANTIDADES'!C3597,'PROPUESTA ECONOMICA(Proponente)'!$C$379:$H$661,5,FALSE)</f>
        <v>CONCRETOS DE VIGAS: Concreto  de 4000 PSI  (incluye suministro e instalación)</v>
      </c>
      <c r="E3597" s="13"/>
      <c r="F3597" s="12"/>
      <c r="G3597" s="12"/>
      <c r="H3597" s="12"/>
      <c r="I3597" s="11" t="s">
        <v>400</v>
      </c>
      <c r="J3597" s="12" t="str">
        <f>+VLOOKUP('MEMORIAS DE CANTIDADES'!C3597,'PROPUESTA ECONOMICA(Proponente)'!$C$379:$H$661,6,FALSE)</f>
        <v>M3</v>
      </c>
      <c r="K3597" s="11" t="s">
        <v>401</v>
      </c>
      <c r="L3597" s="643">
        <f>SUM(L3598:L3662)</f>
        <v>241.08991999999995</v>
      </c>
    </row>
    <row r="3598" spans="2:12" ht="15">
      <c r="B3598" s="644"/>
      <c r="C3598" s="16"/>
      <c r="D3598" s="15"/>
      <c r="E3598" s="15"/>
      <c r="F3598" s="15"/>
      <c r="G3598" s="15"/>
      <c r="H3598" s="15"/>
      <c r="I3598" s="15"/>
      <c r="J3598" s="15"/>
      <c r="K3598" s="17"/>
      <c r="L3598" s="645"/>
    </row>
    <row r="3599" spans="2:12" ht="47.25">
      <c r="B3599" s="646" t="s">
        <v>402</v>
      </c>
      <c r="C3599" s="18" t="s">
        <v>403</v>
      </c>
      <c r="D3599" s="18" t="s">
        <v>404</v>
      </c>
      <c r="E3599" s="18" t="s">
        <v>405</v>
      </c>
      <c r="F3599" s="18" t="s">
        <v>406</v>
      </c>
      <c r="G3599" s="18" t="s">
        <v>407</v>
      </c>
      <c r="H3599" s="5" t="s">
        <v>408</v>
      </c>
      <c r="I3599" s="18" t="s">
        <v>409</v>
      </c>
      <c r="J3599" s="5" t="s">
        <v>410</v>
      </c>
      <c r="K3599" s="5" t="s">
        <v>411</v>
      </c>
      <c r="L3599" s="647" t="s">
        <v>412</v>
      </c>
    </row>
    <row r="3600" spans="2:12" ht="16.5">
      <c r="B3600" s="658" t="s">
        <v>438</v>
      </c>
      <c r="C3600" s="18"/>
      <c r="D3600" s="18"/>
      <c r="E3600" s="18"/>
      <c r="G3600" s="18"/>
      <c r="H3600" s="5"/>
      <c r="I3600" s="41"/>
      <c r="J3600" s="46"/>
      <c r="K3600" s="5"/>
      <c r="L3600" s="649"/>
    </row>
    <row r="3601" spans="2:12" ht="16.5">
      <c r="B3601" s="708" t="s">
        <v>502</v>
      </c>
      <c r="C3601" s="48"/>
      <c r="D3601" s="48">
        <v>0.3</v>
      </c>
      <c r="E3601" s="48">
        <v>0.35</v>
      </c>
      <c r="F3601" s="45">
        <f>7.05+4.71+1.45</f>
        <v>13.209999999999999</v>
      </c>
      <c r="G3601" s="48"/>
      <c r="H3601" s="30"/>
      <c r="I3601" s="41">
        <v>2</v>
      </c>
      <c r="J3601" s="46"/>
      <c r="K3601" s="30"/>
      <c r="L3601" s="649">
        <f t="shared" ref="L3601:L3606" si="254">PRODUCT(C3601:K3601)</f>
        <v>2.7740999999999998</v>
      </c>
    </row>
    <row r="3602" spans="2:12" ht="16.5">
      <c r="B3602" s="708" t="s">
        <v>503</v>
      </c>
      <c r="C3602" s="48"/>
      <c r="D3602" s="48">
        <v>0.3</v>
      </c>
      <c r="E3602" s="48">
        <v>0.35</v>
      </c>
      <c r="F3602" s="45">
        <v>4.4000000000000004</v>
      </c>
      <c r="G3602" s="48"/>
      <c r="H3602" s="30"/>
      <c r="I3602" s="41">
        <v>3</v>
      </c>
      <c r="J3602" s="46"/>
      <c r="K3602" s="30"/>
      <c r="L3602" s="649">
        <f t="shared" si="254"/>
        <v>1.3860000000000001</v>
      </c>
    </row>
    <row r="3603" spans="2:12" ht="16.5">
      <c r="B3603" s="708" t="s">
        <v>504</v>
      </c>
      <c r="C3603" s="48"/>
      <c r="D3603" s="48">
        <v>0.12</v>
      </c>
      <c r="E3603" s="48">
        <v>0.35</v>
      </c>
      <c r="F3603" s="45">
        <v>3.8</v>
      </c>
      <c r="G3603" s="48"/>
      <c r="H3603" s="30"/>
      <c r="I3603" s="41">
        <v>12</v>
      </c>
      <c r="J3603" s="46"/>
      <c r="K3603" s="30"/>
      <c r="L3603" s="649">
        <f t="shared" si="254"/>
        <v>1.9151999999999996</v>
      </c>
    </row>
    <row r="3604" spans="2:12" ht="16.5">
      <c r="B3604" s="708" t="s">
        <v>505</v>
      </c>
      <c r="C3604" s="48"/>
      <c r="D3604" s="48">
        <v>0.5</v>
      </c>
      <c r="E3604" s="48">
        <v>0.6</v>
      </c>
      <c r="F3604" s="45">
        <v>22.7</v>
      </c>
      <c r="G3604" s="48"/>
      <c r="H3604" s="30"/>
      <c r="I3604" s="41">
        <v>2</v>
      </c>
      <c r="J3604" s="46"/>
      <c r="K3604" s="30"/>
      <c r="L3604" s="649">
        <f t="shared" si="254"/>
        <v>13.62</v>
      </c>
    </row>
    <row r="3605" spans="2:12" ht="16.5">
      <c r="B3605" s="708" t="s">
        <v>506</v>
      </c>
      <c r="C3605" s="48"/>
      <c r="D3605" s="48">
        <v>0.35</v>
      </c>
      <c r="E3605" s="48">
        <v>0.6</v>
      </c>
      <c r="F3605" s="45">
        <f>3.4+0.85+0.65</f>
        <v>4.9000000000000004</v>
      </c>
      <c r="G3605" s="48"/>
      <c r="H3605" s="30"/>
      <c r="I3605" s="41">
        <v>5</v>
      </c>
      <c r="J3605" s="46"/>
      <c r="K3605" s="30"/>
      <c r="L3605" s="649">
        <f t="shared" si="254"/>
        <v>5.1450000000000005</v>
      </c>
    </row>
    <row r="3606" spans="2:12" ht="16.5">
      <c r="B3606" s="708" t="s">
        <v>458</v>
      </c>
      <c r="C3606" s="48"/>
      <c r="D3606" s="48">
        <v>0.15</v>
      </c>
      <c r="E3606" s="48">
        <v>0.6</v>
      </c>
      <c r="F3606" s="45">
        <v>22.7</v>
      </c>
      <c r="G3606" s="48"/>
      <c r="H3606" s="30"/>
      <c r="I3606" s="41">
        <v>2</v>
      </c>
      <c r="J3606" s="46"/>
      <c r="K3606" s="30"/>
      <c r="L3606" s="649">
        <f t="shared" si="254"/>
        <v>4.0859999999999994</v>
      </c>
    </row>
    <row r="3607" spans="2:12" ht="16.5">
      <c r="B3607" s="708"/>
      <c r="C3607" s="48"/>
      <c r="D3607" s="48"/>
      <c r="E3607" s="48"/>
      <c r="F3607" s="45"/>
      <c r="G3607" s="48"/>
      <c r="H3607" s="30"/>
      <c r="I3607" s="41"/>
      <c r="J3607" s="46"/>
      <c r="K3607" s="30"/>
      <c r="L3607" s="649"/>
    </row>
    <row r="3608" spans="2:12" ht="16.5">
      <c r="B3608" s="658" t="s">
        <v>464</v>
      </c>
      <c r="C3608" s="48"/>
      <c r="D3608" s="48"/>
      <c r="E3608" s="48"/>
      <c r="F3608" s="49"/>
      <c r="G3608" s="48"/>
      <c r="H3608" s="30"/>
      <c r="I3608" s="41"/>
      <c r="J3608" s="46"/>
      <c r="K3608" s="30"/>
      <c r="L3608" s="649"/>
    </row>
    <row r="3609" spans="2:12" ht="16.5">
      <c r="B3609" s="708" t="s">
        <v>507</v>
      </c>
      <c r="C3609" s="50"/>
      <c r="D3609" s="59">
        <v>0.3</v>
      </c>
      <c r="E3609" s="59">
        <v>0.3</v>
      </c>
      <c r="F3609" s="51">
        <v>5.55</v>
      </c>
      <c r="G3609" s="50"/>
      <c r="H3609" s="5"/>
      <c r="I3609" s="41">
        <v>4</v>
      </c>
      <c r="J3609" s="54"/>
      <c r="K3609" s="52"/>
      <c r="L3609" s="649">
        <f t="shared" ref="L3609:L3614" si="255">PRODUCT(C3609:K3609)</f>
        <v>1.9979999999999998</v>
      </c>
    </row>
    <row r="3610" spans="2:12" ht="16.5">
      <c r="B3610" s="708" t="s">
        <v>508</v>
      </c>
      <c r="C3610" s="351"/>
      <c r="D3610" s="48">
        <v>0.3</v>
      </c>
      <c r="E3610" s="59">
        <v>0.3</v>
      </c>
      <c r="F3610" s="49">
        <v>4.8</v>
      </c>
      <c r="G3610" s="351"/>
      <c r="H3610" s="5"/>
      <c r="I3610" s="41">
        <v>4</v>
      </c>
      <c r="J3610" s="355"/>
      <c r="K3610" s="354"/>
      <c r="L3610" s="649">
        <f t="shared" si="255"/>
        <v>1.728</v>
      </c>
    </row>
    <row r="3611" spans="2:12" ht="16.5">
      <c r="B3611" s="708" t="s">
        <v>509</v>
      </c>
      <c r="C3611" s="351"/>
      <c r="D3611" s="352">
        <v>0.12</v>
      </c>
      <c r="E3611" s="59">
        <v>0.3</v>
      </c>
      <c r="F3611" s="353">
        <v>3.48</v>
      </c>
      <c r="G3611" s="351"/>
      <c r="H3611" s="5"/>
      <c r="I3611" s="41">
        <v>8</v>
      </c>
      <c r="J3611" s="355"/>
      <c r="K3611" s="354"/>
      <c r="L3611" s="649">
        <f t="shared" si="255"/>
        <v>1.00224</v>
      </c>
    </row>
    <row r="3612" spans="2:12" ht="16.5">
      <c r="B3612" s="708" t="s">
        <v>510</v>
      </c>
      <c r="C3612" s="351"/>
      <c r="D3612" s="352">
        <v>0.5</v>
      </c>
      <c r="E3612" s="59">
        <v>0.55000000000000004</v>
      </c>
      <c r="F3612" s="353">
        <v>11.6</v>
      </c>
      <c r="G3612" s="351"/>
      <c r="H3612" s="5"/>
      <c r="I3612" s="41">
        <v>4</v>
      </c>
      <c r="J3612" s="355"/>
      <c r="K3612" s="354"/>
      <c r="L3612" s="649">
        <f t="shared" si="255"/>
        <v>12.76</v>
      </c>
    </row>
    <row r="3613" spans="2:12" ht="16.5">
      <c r="B3613" s="708" t="s">
        <v>511</v>
      </c>
      <c r="C3613" s="351"/>
      <c r="D3613" s="352">
        <v>0.35</v>
      </c>
      <c r="E3613" s="59">
        <v>0.35</v>
      </c>
      <c r="F3613" s="353">
        <f>3.08+0.45+0.97</f>
        <v>4.5</v>
      </c>
      <c r="G3613" s="351"/>
      <c r="H3613" s="5"/>
      <c r="I3613" s="41">
        <v>6</v>
      </c>
      <c r="J3613" s="355"/>
      <c r="K3613" s="354"/>
      <c r="L3613" s="649">
        <f t="shared" si="255"/>
        <v>3.3074999999999992</v>
      </c>
    </row>
    <row r="3614" spans="2:12" ht="16.5">
      <c r="B3614" s="708" t="s">
        <v>478</v>
      </c>
      <c r="C3614" s="351"/>
      <c r="D3614" s="352">
        <v>0.15</v>
      </c>
      <c r="E3614" s="59">
        <v>0.55000000000000004</v>
      </c>
      <c r="F3614" s="353">
        <v>11.1</v>
      </c>
      <c r="G3614" s="351"/>
      <c r="H3614" s="5"/>
      <c r="I3614" s="41">
        <v>4</v>
      </c>
      <c r="J3614" s="355"/>
      <c r="K3614" s="354"/>
      <c r="L3614" s="649">
        <f t="shared" si="255"/>
        <v>3.6630000000000003</v>
      </c>
    </row>
    <row r="3615" spans="2:12" ht="16.5">
      <c r="B3615" s="708"/>
      <c r="C3615" s="351"/>
      <c r="D3615" s="352"/>
      <c r="E3615" s="59"/>
      <c r="F3615" s="353"/>
      <c r="G3615" s="351"/>
      <c r="H3615" s="5"/>
      <c r="I3615" s="41"/>
      <c r="J3615" s="355"/>
      <c r="K3615" s="354"/>
      <c r="L3615" s="649"/>
    </row>
    <row r="3616" spans="2:12" ht="15.75">
      <c r="B3616" s="658" t="s">
        <v>889</v>
      </c>
      <c r="C3616" s="19"/>
      <c r="D3616" s="19"/>
      <c r="E3616" s="48"/>
      <c r="F3616" s="47"/>
      <c r="G3616" s="57"/>
      <c r="H3616" s="21"/>
      <c r="I3616" s="55"/>
      <c r="J3616" s="56"/>
      <c r="K3616" s="5"/>
      <c r="L3616" s="649"/>
    </row>
    <row r="3617" spans="2:12" ht="16.5">
      <c r="B3617" s="747" t="s">
        <v>631</v>
      </c>
      <c r="C3617" s="19"/>
      <c r="D3617" s="19">
        <v>0.3</v>
      </c>
      <c r="E3617" s="236">
        <v>0.3</v>
      </c>
      <c r="F3617" s="47">
        <f>3+0.54</f>
        <v>3.54</v>
      </c>
      <c r="G3617" s="57"/>
      <c r="H3617" s="21"/>
      <c r="I3617" s="55"/>
      <c r="J3617" s="56"/>
      <c r="K3617" s="354">
        <v>2</v>
      </c>
      <c r="L3617" s="649">
        <f t="shared" ref="L3617:L3624" si="256">PRODUCT(C3617:K3617)</f>
        <v>0.63719999999999999</v>
      </c>
    </row>
    <row r="3618" spans="2:12" ht="16.5">
      <c r="B3618" s="747" t="s">
        <v>632</v>
      </c>
      <c r="C3618" s="19"/>
      <c r="D3618" s="19">
        <v>0.3</v>
      </c>
      <c r="E3618" s="236">
        <v>0.3</v>
      </c>
      <c r="F3618" s="47">
        <v>3.66</v>
      </c>
      <c r="G3618" s="57"/>
      <c r="H3618" s="21"/>
      <c r="I3618" s="55"/>
      <c r="J3618" s="56"/>
      <c r="K3618" s="354">
        <v>2</v>
      </c>
      <c r="L3618" s="649">
        <f t="shared" si="256"/>
        <v>0.65880000000000005</v>
      </c>
    </row>
    <row r="3619" spans="2:12" ht="16.5">
      <c r="B3619" s="747" t="s">
        <v>891</v>
      </c>
      <c r="C3619" s="19"/>
      <c r="D3619" s="19">
        <v>0.3</v>
      </c>
      <c r="E3619" s="236">
        <v>0.3</v>
      </c>
      <c r="F3619" s="47">
        <f>3.06+0.3</f>
        <v>3.36</v>
      </c>
      <c r="G3619" s="57"/>
      <c r="H3619" s="21"/>
      <c r="I3619" s="55"/>
      <c r="J3619" s="56"/>
      <c r="K3619" s="354">
        <v>2</v>
      </c>
      <c r="L3619" s="649">
        <f t="shared" si="256"/>
        <v>0.6048</v>
      </c>
    </row>
    <row r="3620" spans="2:12" ht="16.5">
      <c r="B3620" s="747" t="s">
        <v>892</v>
      </c>
      <c r="C3620" s="19"/>
      <c r="D3620" s="19">
        <v>0.3</v>
      </c>
      <c r="E3620" s="236">
        <v>0.3</v>
      </c>
      <c r="F3620" s="47">
        <v>3.06</v>
      </c>
      <c r="G3620" s="57"/>
      <c r="H3620" s="21"/>
      <c r="I3620" s="55"/>
      <c r="J3620" s="56"/>
      <c r="K3620" s="354">
        <v>2</v>
      </c>
      <c r="L3620" s="649">
        <f t="shared" si="256"/>
        <v>0.55079999999999996</v>
      </c>
    </row>
    <row r="3621" spans="2:12" ht="16.5">
      <c r="B3621" s="747" t="s">
        <v>893</v>
      </c>
      <c r="C3621" s="19"/>
      <c r="D3621" s="19">
        <v>0.3</v>
      </c>
      <c r="E3621" s="236">
        <v>0.3</v>
      </c>
      <c r="F3621" s="47">
        <f>3.49+3.62+3.8</f>
        <v>10.91</v>
      </c>
      <c r="G3621" s="57"/>
      <c r="H3621" s="21"/>
      <c r="I3621" s="55"/>
      <c r="J3621" s="56"/>
      <c r="K3621" s="354">
        <v>2</v>
      </c>
      <c r="L3621" s="649">
        <f t="shared" si="256"/>
        <v>1.9638</v>
      </c>
    </row>
    <row r="3622" spans="2:12" ht="16.5">
      <c r="B3622" s="747" t="s">
        <v>894</v>
      </c>
      <c r="C3622" s="19"/>
      <c r="D3622" s="19">
        <v>0.3</v>
      </c>
      <c r="E3622" s="236">
        <v>0.3</v>
      </c>
      <c r="F3622" s="47">
        <v>3.62</v>
      </c>
      <c r="G3622" s="57"/>
      <c r="H3622" s="21"/>
      <c r="I3622" s="55"/>
      <c r="J3622" s="56"/>
      <c r="K3622" s="354">
        <v>2</v>
      </c>
      <c r="L3622" s="649">
        <f t="shared" si="256"/>
        <v>0.65159999999999996</v>
      </c>
    </row>
    <row r="3623" spans="2:12" ht="16.5">
      <c r="B3623" s="747" t="s">
        <v>725</v>
      </c>
      <c r="C3623" s="19"/>
      <c r="D3623" s="19">
        <v>0.3</v>
      </c>
      <c r="E3623" s="236">
        <v>0.3</v>
      </c>
      <c r="F3623" s="47">
        <f>3.49+3.74</f>
        <v>7.23</v>
      </c>
      <c r="G3623" s="57"/>
      <c r="H3623" s="21"/>
      <c r="I3623" s="55"/>
      <c r="J3623" s="56"/>
      <c r="K3623" s="354">
        <v>2</v>
      </c>
      <c r="L3623" s="649">
        <f t="shared" si="256"/>
        <v>1.3014000000000001</v>
      </c>
    </row>
    <row r="3624" spans="2:12" ht="16.5">
      <c r="B3624" s="747" t="s">
        <v>634</v>
      </c>
      <c r="C3624" s="19"/>
      <c r="D3624" s="19">
        <v>0.12</v>
      </c>
      <c r="E3624" s="236">
        <v>0.35</v>
      </c>
      <c r="F3624" s="47">
        <v>4.04</v>
      </c>
      <c r="G3624" s="57"/>
      <c r="H3624" s="21"/>
      <c r="I3624" s="55"/>
      <c r="J3624" s="56"/>
      <c r="K3624" s="354">
        <v>2</v>
      </c>
      <c r="L3624" s="649">
        <f t="shared" si="256"/>
        <v>0.33935999999999999</v>
      </c>
    </row>
    <row r="3625" spans="2:12" ht="15.75">
      <c r="B3625" s="658" t="s">
        <v>886</v>
      </c>
      <c r="C3625" s="19"/>
      <c r="D3625" s="19"/>
      <c r="E3625" s="48"/>
      <c r="F3625" s="47"/>
      <c r="G3625" s="57"/>
      <c r="H3625" s="21"/>
      <c r="I3625" s="55"/>
      <c r="J3625" s="56"/>
      <c r="K3625" s="5"/>
      <c r="L3625" s="649"/>
    </row>
    <row r="3626" spans="2:12" ht="16.5">
      <c r="B3626" s="821" t="s">
        <v>625</v>
      </c>
      <c r="C3626" s="19"/>
      <c r="D3626" s="19">
        <v>0.3</v>
      </c>
      <c r="E3626" s="236">
        <v>0.3</v>
      </c>
      <c r="F3626" s="48">
        <f>3.06*2</f>
        <v>6.12</v>
      </c>
      <c r="G3626" s="57"/>
      <c r="H3626" s="21"/>
      <c r="I3626" s="55"/>
      <c r="J3626" s="56"/>
      <c r="K3626" s="354">
        <v>2</v>
      </c>
      <c r="L3626" s="649">
        <f t="shared" ref="L3626:L3633" si="257">PRODUCT(C3626:K3626)</f>
        <v>1.1015999999999999</v>
      </c>
    </row>
    <row r="3627" spans="2:12" ht="16.5">
      <c r="B3627" s="821" t="s">
        <v>626</v>
      </c>
      <c r="C3627" s="19"/>
      <c r="D3627" s="19">
        <v>0.3</v>
      </c>
      <c r="E3627" s="236">
        <v>0.3</v>
      </c>
      <c r="F3627" s="48">
        <f>3.06+0.3</f>
        <v>3.36</v>
      </c>
      <c r="G3627" s="57"/>
      <c r="H3627" s="21"/>
      <c r="I3627" s="55"/>
      <c r="J3627" s="56"/>
      <c r="K3627" s="354">
        <v>2</v>
      </c>
      <c r="L3627" s="649">
        <f t="shared" si="257"/>
        <v>0.6048</v>
      </c>
    </row>
    <row r="3628" spans="2:12" ht="16.5">
      <c r="B3628" s="821" t="s">
        <v>627</v>
      </c>
      <c r="C3628" s="19"/>
      <c r="D3628" s="19">
        <v>0.3</v>
      </c>
      <c r="E3628" s="236">
        <v>0.3</v>
      </c>
      <c r="F3628" s="48">
        <f>3+0.66</f>
        <v>3.66</v>
      </c>
      <c r="G3628" s="57"/>
      <c r="H3628" s="21"/>
      <c r="I3628" s="55"/>
      <c r="J3628" s="56"/>
      <c r="K3628" s="354">
        <v>2</v>
      </c>
      <c r="L3628" s="649">
        <f t="shared" si="257"/>
        <v>0.65880000000000005</v>
      </c>
    </row>
    <row r="3629" spans="2:12" ht="16.5">
      <c r="B3629" s="821" t="s">
        <v>628</v>
      </c>
      <c r="C3629" s="19"/>
      <c r="D3629" s="19">
        <v>0.3</v>
      </c>
      <c r="E3629" s="236">
        <v>0.3</v>
      </c>
      <c r="F3629" s="48">
        <f>3.26+4.16+3.8</f>
        <v>11.219999999999999</v>
      </c>
      <c r="G3629" s="57"/>
      <c r="H3629" s="21"/>
      <c r="I3629" s="55"/>
      <c r="J3629" s="56"/>
      <c r="K3629" s="354">
        <v>2</v>
      </c>
      <c r="L3629" s="649">
        <f t="shared" si="257"/>
        <v>2.0195999999999996</v>
      </c>
    </row>
    <row r="3630" spans="2:12" ht="16.5">
      <c r="B3630" s="821" t="s">
        <v>629</v>
      </c>
      <c r="C3630" s="19"/>
      <c r="D3630" s="19">
        <v>0.3</v>
      </c>
      <c r="E3630" s="236">
        <v>0.3</v>
      </c>
      <c r="F3630" s="48">
        <f>4.16+3.26</f>
        <v>7.42</v>
      </c>
      <c r="G3630" s="57"/>
      <c r="H3630" s="21"/>
      <c r="I3630" s="55"/>
      <c r="J3630" s="56"/>
      <c r="K3630" s="354">
        <v>2</v>
      </c>
      <c r="L3630" s="649">
        <f t="shared" si="257"/>
        <v>1.3355999999999999</v>
      </c>
    </row>
    <row r="3631" spans="2:12" ht="16.5">
      <c r="B3631" s="821" t="s">
        <v>630</v>
      </c>
      <c r="C3631" s="19"/>
      <c r="D3631" s="19">
        <v>0.3</v>
      </c>
      <c r="E3631" s="236">
        <v>0.3</v>
      </c>
      <c r="F3631" s="47">
        <v>3.74</v>
      </c>
      <c r="G3631" s="57"/>
      <c r="H3631" s="21"/>
      <c r="I3631" s="55"/>
      <c r="J3631" s="56"/>
      <c r="K3631" s="354">
        <v>2</v>
      </c>
      <c r="L3631" s="649">
        <f t="shared" si="257"/>
        <v>0.67320000000000002</v>
      </c>
    </row>
    <row r="3632" spans="2:12" ht="16.5">
      <c r="B3632" s="821" t="s">
        <v>633</v>
      </c>
      <c r="C3632" s="19"/>
      <c r="D3632" s="19">
        <v>0.12</v>
      </c>
      <c r="E3632" s="236">
        <v>0.3</v>
      </c>
      <c r="F3632" s="47">
        <v>3.74</v>
      </c>
      <c r="G3632" s="57"/>
      <c r="H3632" s="21"/>
      <c r="I3632" s="55"/>
      <c r="J3632" s="56"/>
      <c r="K3632" s="354">
        <v>2</v>
      </c>
      <c r="L3632" s="649">
        <f t="shared" si="257"/>
        <v>0.26928000000000002</v>
      </c>
    </row>
    <row r="3633" spans="2:12" ht="16.5">
      <c r="B3633" s="822" t="s">
        <v>888</v>
      </c>
      <c r="C3633" s="19"/>
      <c r="D3633" s="19"/>
      <c r="E3633" s="236"/>
      <c r="F3633" s="47"/>
      <c r="G3633" s="57"/>
      <c r="H3633" s="21"/>
      <c r="I3633" s="55"/>
      <c r="J3633" s="56"/>
      <c r="K3633" s="354">
        <v>2</v>
      </c>
      <c r="L3633" s="649">
        <f t="shared" si="257"/>
        <v>2</v>
      </c>
    </row>
    <row r="3634" spans="2:12" ht="16.5">
      <c r="B3634" s="823"/>
      <c r="C3634" s="19"/>
      <c r="D3634" s="19"/>
      <c r="E3634" s="48"/>
      <c r="F3634" s="47"/>
      <c r="G3634" s="57"/>
      <c r="H3634" s="21"/>
      <c r="I3634" s="55"/>
      <c r="J3634" s="56"/>
      <c r="K3634" s="5"/>
      <c r="L3634" s="649"/>
    </row>
    <row r="3635" spans="2:12" ht="15.75">
      <c r="B3635" s="658" t="s">
        <v>907</v>
      </c>
      <c r="C3635" s="19"/>
      <c r="D3635" s="19"/>
      <c r="E3635" s="48"/>
      <c r="F3635" s="47"/>
      <c r="G3635" s="57"/>
      <c r="H3635" s="21"/>
      <c r="I3635" s="55"/>
      <c r="J3635" s="56"/>
      <c r="K3635" s="5"/>
      <c r="L3635" s="649"/>
    </row>
    <row r="3636" spans="2:12" ht="16.5">
      <c r="B3636" s="821" t="s">
        <v>625</v>
      </c>
      <c r="C3636" s="19"/>
      <c r="D3636" s="19">
        <v>0.3</v>
      </c>
      <c r="E3636" s="236">
        <v>0.3</v>
      </c>
      <c r="F3636" s="48">
        <f>3.06*2</f>
        <v>6.12</v>
      </c>
      <c r="G3636" s="57"/>
      <c r="H3636" s="21"/>
      <c r="I3636" s="55"/>
      <c r="J3636" s="56"/>
      <c r="K3636" s="354">
        <v>4</v>
      </c>
      <c r="L3636" s="649">
        <f t="shared" ref="L3636:L3643" si="258">PRODUCT(C3636:K3636)</f>
        <v>2.2031999999999998</v>
      </c>
    </row>
    <row r="3637" spans="2:12" ht="16.5">
      <c r="B3637" s="821" t="s">
        <v>626</v>
      </c>
      <c r="C3637" s="19"/>
      <c r="D3637" s="19">
        <v>0.3</v>
      </c>
      <c r="E3637" s="236">
        <v>0.3</v>
      </c>
      <c r="F3637" s="48">
        <f>3.06+0.3</f>
        <v>3.36</v>
      </c>
      <c r="G3637" s="57"/>
      <c r="H3637" s="21"/>
      <c r="I3637" s="55"/>
      <c r="J3637" s="56"/>
      <c r="K3637" s="354">
        <v>4</v>
      </c>
      <c r="L3637" s="649">
        <f t="shared" si="258"/>
        <v>1.2096</v>
      </c>
    </row>
    <row r="3638" spans="2:12" ht="16.5">
      <c r="B3638" s="821" t="s">
        <v>627</v>
      </c>
      <c r="C3638" s="19"/>
      <c r="D3638" s="19">
        <v>0.3</v>
      </c>
      <c r="E3638" s="236">
        <v>0.3</v>
      </c>
      <c r="F3638" s="48">
        <f>3+0.66</f>
        <v>3.66</v>
      </c>
      <c r="G3638" s="57"/>
      <c r="H3638" s="21"/>
      <c r="I3638" s="55"/>
      <c r="J3638" s="56"/>
      <c r="K3638" s="354">
        <v>4</v>
      </c>
      <c r="L3638" s="649">
        <f t="shared" si="258"/>
        <v>1.3176000000000001</v>
      </c>
    </row>
    <row r="3639" spans="2:12" ht="16.5">
      <c r="B3639" s="821" t="s">
        <v>628</v>
      </c>
      <c r="C3639" s="19"/>
      <c r="D3639" s="19">
        <v>0.3</v>
      </c>
      <c r="E3639" s="236">
        <v>0.3</v>
      </c>
      <c r="F3639" s="48">
        <f>3.26+4.16+3.8</f>
        <v>11.219999999999999</v>
      </c>
      <c r="G3639" s="57"/>
      <c r="H3639" s="21"/>
      <c r="I3639" s="55"/>
      <c r="J3639" s="56"/>
      <c r="K3639" s="354">
        <v>4</v>
      </c>
      <c r="L3639" s="649">
        <f t="shared" si="258"/>
        <v>4.0391999999999992</v>
      </c>
    </row>
    <row r="3640" spans="2:12" ht="16.5">
      <c r="B3640" s="821" t="s">
        <v>629</v>
      </c>
      <c r="C3640" s="19"/>
      <c r="D3640" s="19">
        <v>0.3</v>
      </c>
      <c r="E3640" s="236">
        <v>0.3</v>
      </c>
      <c r="F3640" s="48">
        <f>4.16+3.26</f>
        <v>7.42</v>
      </c>
      <c r="G3640" s="57"/>
      <c r="H3640" s="21"/>
      <c r="I3640" s="55"/>
      <c r="J3640" s="56"/>
      <c r="K3640" s="354">
        <v>4</v>
      </c>
      <c r="L3640" s="649">
        <f t="shared" si="258"/>
        <v>2.6711999999999998</v>
      </c>
    </row>
    <row r="3641" spans="2:12" ht="16.5">
      <c r="B3641" s="821" t="s">
        <v>630</v>
      </c>
      <c r="C3641" s="19"/>
      <c r="D3641" s="19">
        <v>0.3</v>
      </c>
      <c r="E3641" s="236">
        <v>0.3</v>
      </c>
      <c r="F3641" s="47">
        <v>3.74</v>
      </c>
      <c r="G3641" s="57"/>
      <c r="H3641" s="21"/>
      <c r="I3641" s="55"/>
      <c r="J3641" s="56"/>
      <c r="K3641" s="354">
        <v>4</v>
      </c>
      <c r="L3641" s="649">
        <f t="shared" si="258"/>
        <v>1.3464</v>
      </c>
    </row>
    <row r="3642" spans="2:12" ht="16.5">
      <c r="B3642" s="821" t="s">
        <v>633</v>
      </c>
      <c r="C3642" s="19"/>
      <c r="D3642" s="19">
        <v>0.12</v>
      </c>
      <c r="E3642" s="236">
        <v>0.3</v>
      </c>
      <c r="F3642" s="47">
        <v>3.74</v>
      </c>
      <c r="G3642" s="57"/>
      <c r="H3642" s="21"/>
      <c r="I3642" s="55"/>
      <c r="J3642" s="56"/>
      <c r="K3642" s="354">
        <v>4</v>
      </c>
      <c r="L3642" s="649">
        <f t="shared" si="258"/>
        <v>0.53856000000000004</v>
      </c>
    </row>
    <row r="3643" spans="2:12" ht="16.5">
      <c r="B3643" s="822" t="s">
        <v>888</v>
      </c>
      <c r="C3643" s="19"/>
      <c r="D3643" s="19"/>
      <c r="E3643" s="236"/>
      <c r="F3643" s="47"/>
      <c r="G3643" s="57"/>
      <c r="H3643" s="21"/>
      <c r="I3643" s="55"/>
      <c r="J3643" s="56"/>
      <c r="K3643" s="354">
        <v>4</v>
      </c>
      <c r="L3643" s="649">
        <f t="shared" si="258"/>
        <v>4</v>
      </c>
    </row>
    <row r="3644" spans="2:12" ht="15.75">
      <c r="B3644" s="658" t="s">
        <v>853</v>
      </c>
      <c r="C3644" s="19"/>
      <c r="D3644" s="19"/>
      <c r="E3644" s="48"/>
      <c r="F3644" s="47"/>
      <c r="G3644" s="57"/>
      <c r="H3644" s="21"/>
      <c r="I3644" s="55"/>
      <c r="J3644" s="56"/>
      <c r="K3644" s="5"/>
      <c r="L3644" s="649"/>
    </row>
    <row r="3645" spans="2:12" ht="16.5">
      <c r="B3645" s="821" t="s">
        <v>625</v>
      </c>
      <c r="C3645" s="19"/>
      <c r="D3645" s="19">
        <v>0.3</v>
      </c>
      <c r="E3645" s="236">
        <v>0.3</v>
      </c>
      <c r="F3645" s="48">
        <f>3.06</f>
        <v>3.06</v>
      </c>
      <c r="G3645" s="57"/>
      <c r="H3645" s="47"/>
      <c r="I3645" s="55"/>
      <c r="J3645" s="56"/>
      <c r="K3645" s="354">
        <v>2</v>
      </c>
      <c r="L3645" s="649">
        <f t="shared" ref="L3645:L3652" si="259">PRODUCT(C3645:K3645)</f>
        <v>0.55079999999999996</v>
      </c>
    </row>
    <row r="3646" spans="2:12" ht="16.5">
      <c r="B3646" s="821" t="s">
        <v>626</v>
      </c>
      <c r="C3646" s="19"/>
      <c r="D3646" s="19">
        <v>0.3</v>
      </c>
      <c r="E3646" s="236">
        <v>0.3</v>
      </c>
      <c r="F3646" s="48">
        <f>3.06+0.3</f>
        <v>3.36</v>
      </c>
      <c r="G3646" s="57"/>
      <c r="H3646" s="47"/>
      <c r="I3646" s="55"/>
      <c r="J3646" s="56"/>
      <c r="K3646" s="354">
        <v>2</v>
      </c>
      <c r="L3646" s="649">
        <f t="shared" si="259"/>
        <v>0.6048</v>
      </c>
    </row>
    <row r="3647" spans="2:12" ht="16.5">
      <c r="B3647" s="821" t="s">
        <v>627</v>
      </c>
      <c r="C3647" s="19"/>
      <c r="D3647" s="19">
        <v>0.3</v>
      </c>
      <c r="E3647" s="236">
        <v>0.3</v>
      </c>
      <c r="F3647" s="48">
        <f>3+0.66</f>
        <v>3.66</v>
      </c>
      <c r="G3647" s="57"/>
      <c r="H3647" s="47"/>
      <c r="I3647" s="55"/>
      <c r="J3647" s="56"/>
      <c r="K3647" s="354">
        <v>2</v>
      </c>
      <c r="L3647" s="649">
        <f t="shared" si="259"/>
        <v>0.65880000000000005</v>
      </c>
    </row>
    <row r="3648" spans="2:12" ht="16.5">
      <c r="B3648" s="821" t="s">
        <v>628</v>
      </c>
      <c r="C3648" s="19"/>
      <c r="D3648" s="19">
        <v>0.3</v>
      </c>
      <c r="E3648" s="236">
        <v>0.3</v>
      </c>
      <c r="F3648" s="48">
        <f>3.86</f>
        <v>3.86</v>
      </c>
      <c r="G3648" s="57"/>
      <c r="H3648" s="47"/>
      <c r="I3648" s="55"/>
      <c r="J3648" s="56"/>
      <c r="K3648" s="354">
        <v>2</v>
      </c>
      <c r="L3648" s="649">
        <f t="shared" si="259"/>
        <v>0.69479999999999997</v>
      </c>
    </row>
    <row r="3649" spans="2:12" ht="16.5">
      <c r="B3649" s="821" t="s">
        <v>629</v>
      </c>
      <c r="C3649" s="19"/>
      <c r="D3649" s="19">
        <v>0.3</v>
      </c>
      <c r="E3649" s="236">
        <v>0.3</v>
      </c>
      <c r="F3649" s="48">
        <f>3.86</f>
        <v>3.86</v>
      </c>
      <c r="G3649" s="57"/>
      <c r="H3649" s="47"/>
      <c r="I3649" s="55"/>
      <c r="J3649" s="56"/>
      <c r="K3649" s="354">
        <v>2</v>
      </c>
      <c r="L3649" s="649">
        <f t="shared" si="259"/>
        <v>0.69479999999999997</v>
      </c>
    </row>
    <row r="3650" spans="2:12" ht="16.5">
      <c r="B3650" s="821" t="s">
        <v>630</v>
      </c>
      <c r="C3650" s="19"/>
      <c r="D3650" s="19">
        <v>0.3</v>
      </c>
      <c r="E3650" s="236">
        <v>0.3</v>
      </c>
      <c r="F3650" s="47">
        <v>3.74</v>
      </c>
      <c r="G3650" s="57"/>
      <c r="H3650" s="47"/>
      <c r="I3650" s="55"/>
      <c r="J3650" s="56"/>
      <c r="K3650" s="354">
        <v>2</v>
      </c>
      <c r="L3650" s="649">
        <f t="shared" si="259"/>
        <v>0.67320000000000002</v>
      </c>
    </row>
    <row r="3651" spans="2:12" ht="16.5">
      <c r="B3651" s="821" t="s">
        <v>633</v>
      </c>
      <c r="C3651" s="19"/>
      <c r="D3651" s="19">
        <v>0.12</v>
      </c>
      <c r="E3651" s="236">
        <v>0.3</v>
      </c>
      <c r="F3651" s="47">
        <v>3.74</v>
      </c>
      <c r="G3651" s="57"/>
      <c r="H3651" s="47"/>
      <c r="I3651" s="55"/>
      <c r="J3651" s="56"/>
      <c r="K3651" s="354">
        <v>2</v>
      </c>
      <c r="L3651" s="649">
        <f t="shared" si="259"/>
        <v>0.26928000000000002</v>
      </c>
    </row>
    <row r="3652" spans="2:12" ht="16.5">
      <c r="B3652" s="822" t="s">
        <v>888</v>
      </c>
      <c r="C3652" s="19"/>
      <c r="D3652" s="19"/>
      <c r="E3652" s="236"/>
      <c r="F3652" s="47"/>
      <c r="G3652" s="57"/>
      <c r="H3652" s="47"/>
      <c r="I3652" s="55"/>
      <c r="J3652" s="56"/>
      <c r="K3652" s="354"/>
      <c r="L3652" s="649">
        <f t="shared" si="259"/>
        <v>0</v>
      </c>
    </row>
    <row r="3653" spans="2:12" ht="15.75">
      <c r="B3653" s="815" t="s">
        <v>895</v>
      </c>
      <c r="C3653" s="19"/>
      <c r="D3653" s="19"/>
      <c r="E3653" s="48"/>
      <c r="F3653" s="47"/>
      <c r="G3653" s="57"/>
      <c r="H3653" s="21"/>
      <c r="I3653" s="55"/>
      <c r="J3653" s="56"/>
      <c r="K3653" s="354"/>
      <c r="L3653" s="649"/>
    </row>
    <row r="3654" spans="2:12" ht="16.5">
      <c r="B3654" s="747" t="s">
        <v>625</v>
      </c>
      <c r="C3654" s="19"/>
      <c r="D3654" s="19">
        <v>0.4</v>
      </c>
      <c r="E3654" s="48">
        <v>0.25</v>
      </c>
      <c r="F3654" s="47">
        <f>17.1*2</f>
        <v>34.200000000000003</v>
      </c>
      <c r="G3654" s="57"/>
      <c r="H3654" s="21"/>
      <c r="I3654" s="55"/>
      <c r="J3654" s="56">
        <v>4</v>
      </c>
      <c r="K3654" s="5">
        <v>2</v>
      </c>
      <c r="L3654" s="649">
        <f t="shared" ref="L3654:L3658" si="260">PRODUCT(C3654:K3654)</f>
        <v>27.360000000000003</v>
      </c>
    </row>
    <row r="3655" spans="2:12" ht="16.5">
      <c r="B3655" s="747" t="s">
        <v>626</v>
      </c>
      <c r="C3655" s="19"/>
      <c r="D3655" s="19">
        <v>0.4</v>
      </c>
      <c r="E3655" s="48">
        <v>0.25</v>
      </c>
      <c r="F3655" s="47">
        <v>14.11</v>
      </c>
      <c r="G3655" s="57"/>
      <c r="H3655" s="21"/>
      <c r="I3655" s="55"/>
      <c r="J3655" s="56"/>
      <c r="K3655" s="5">
        <v>2</v>
      </c>
      <c r="L3655" s="649">
        <f t="shared" si="260"/>
        <v>2.8220000000000001</v>
      </c>
    </row>
    <row r="3656" spans="2:12" ht="16.5">
      <c r="B3656" s="747" t="s">
        <v>627</v>
      </c>
      <c r="C3656" s="19"/>
      <c r="D3656" s="19">
        <v>0.4</v>
      </c>
      <c r="E3656" s="48">
        <v>0.25</v>
      </c>
      <c r="F3656" s="47">
        <v>18.600000000000001</v>
      </c>
      <c r="G3656" s="57"/>
      <c r="H3656" s="21"/>
      <c r="I3656" s="55"/>
      <c r="J3656" s="56"/>
      <c r="K3656" s="5">
        <v>2</v>
      </c>
      <c r="L3656" s="649">
        <f t="shared" si="260"/>
        <v>3.7200000000000006</v>
      </c>
    </row>
    <row r="3657" spans="2:12" ht="16.5">
      <c r="B3657" s="747" t="s">
        <v>628</v>
      </c>
      <c r="C3657" s="19"/>
      <c r="D3657" s="19">
        <v>0.4</v>
      </c>
      <c r="E3657" s="48">
        <v>0.25</v>
      </c>
      <c r="F3657" s="47">
        <v>14.2</v>
      </c>
      <c r="G3657" s="57"/>
      <c r="H3657" s="21"/>
      <c r="I3657" s="55"/>
      <c r="J3657" s="56"/>
      <c r="K3657" s="5">
        <v>2</v>
      </c>
      <c r="L3657" s="649">
        <f t="shared" si="260"/>
        <v>2.84</v>
      </c>
    </row>
    <row r="3658" spans="2:12" ht="16.5">
      <c r="B3658" s="747" t="s">
        <v>629</v>
      </c>
      <c r="C3658" s="19"/>
      <c r="D3658" s="19">
        <v>0.4</v>
      </c>
      <c r="E3658" s="48">
        <v>0.25</v>
      </c>
      <c r="F3658" s="47">
        <v>18.600000000000001</v>
      </c>
      <c r="G3658" s="57"/>
      <c r="H3658" s="21"/>
      <c r="I3658" s="55"/>
      <c r="J3658" s="56"/>
      <c r="K3658" s="5">
        <v>2</v>
      </c>
      <c r="L3658" s="649">
        <f t="shared" si="260"/>
        <v>3.7200000000000006</v>
      </c>
    </row>
    <row r="3659" spans="2:12" ht="16.5">
      <c r="B3659" s="747"/>
      <c r="C3659" s="455"/>
      <c r="D3659" s="455"/>
      <c r="E3659" s="59"/>
      <c r="F3659" s="456"/>
      <c r="G3659" s="457"/>
      <c r="H3659" s="21"/>
      <c r="I3659" s="55"/>
      <c r="J3659" s="458"/>
      <c r="K3659" s="354"/>
      <c r="L3659" s="649"/>
    </row>
    <row r="3660" spans="2:12" ht="16.5">
      <c r="B3660" s="747" t="s">
        <v>1056</v>
      </c>
      <c r="C3660" s="455"/>
      <c r="D3660" s="455">
        <v>1</v>
      </c>
      <c r="E3660" s="59">
        <v>0.2</v>
      </c>
      <c r="F3660" s="456">
        <v>552</v>
      </c>
      <c r="G3660" s="457"/>
      <c r="H3660" s="21"/>
      <c r="I3660" s="55"/>
      <c r="J3660" s="458"/>
      <c r="K3660" s="354"/>
      <c r="L3660" s="649">
        <f>PRODUCT(C3660:K3660)</f>
        <v>110.4</v>
      </c>
    </row>
    <row r="3661" spans="2:12" ht="16.5">
      <c r="B3661" s="708"/>
      <c r="C3661" s="351"/>
      <c r="D3661" s="352"/>
      <c r="E3661" s="59"/>
      <c r="F3661" s="353"/>
      <c r="G3661" s="351"/>
      <c r="H3661" s="5"/>
      <c r="I3661" s="41"/>
      <c r="J3661" s="355"/>
      <c r="K3661" s="354"/>
      <c r="L3661" s="649"/>
    </row>
    <row r="3662" spans="2:12" ht="15.75">
      <c r="B3662" s="981" t="s">
        <v>414</v>
      </c>
      <c r="C3662" s="982"/>
      <c r="D3662" s="982"/>
      <c r="E3662" s="982"/>
      <c r="F3662" s="982"/>
      <c r="G3662" s="982"/>
      <c r="H3662" s="982"/>
      <c r="I3662" s="982"/>
      <c r="J3662" s="982"/>
      <c r="K3662" s="982"/>
      <c r="L3662" s="983"/>
    </row>
    <row r="3663" spans="2:12">
      <c r="B3663" s="651"/>
      <c r="L3663" s="652"/>
    </row>
    <row r="3664" spans="2:12" ht="15.6" customHeight="1">
      <c r="B3664" s="638" t="s">
        <v>398</v>
      </c>
      <c r="C3664" s="8">
        <v>3</v>
      </c>
      <c r="D3664" s="1008" t="s">
        <v>1038</v>
      </c>
      <c r="E3664" s="1009"/>
      <c r="F3664" s="1009"/>
      <c r="G3664" s="1009"/>
      <c r="H3664" s="1009"/>
      <c r="I3664" s="1009"/>
      <c r="J3664" s="1009"/>
      <c r="K3664" s="1009"/>
      <c r="L3664" s="1010"/>
    </row>
    <row r="3665" spans="2:12" ht="15">
      <c r="B3665" s="1005"/>
      <c r="C3665" s="1006"/>
      <c r="D3665" s="1006"/>
      <c r="E3665" s="1006"/>
      <c r="F3665" s="1006"/>
      <c r="G3665" s="1006"/>
      <c r="H3665" s="1006"/>
      <c r="I3665" s="1006"/>
      <c r="J3665" s="1006"/>
      <c r="K3665" s="1006"/>
      <c r="L3665" s="1007"/>
    </row>
    <row r="3666" spans="2:12" ht="31.5">
      <c r="B3666" s="653" t="s">
        <v>399</v>
      </c>
      <c r="C3666" s="209">
        <f>+'PROPUESTA ECONOMICA(Proponente)'!C403</f>
        <v>3.8</v>
      </c>
      <c r="D3666" s="12" t="str">
        <f>+VLOOKUP('MEMORIAS DE CANTIDADES'!C3666,'PROPUESTA ECONOMICA(Proponente)'!$C$379:$H$661,5,FALSE)</f>
        <v>Losa Graderías e=0,10, Concreto f¨c = 4000 PS  (incluye suministro e instalación)</v>
      </c>
      <c r="E3666" s="13"/>
      <c r="F3666" s="12"/>
      <c r="G3666" s="12"/>
      <c r="H3666" s="12"/>
      <c r="I3666" s="11" t="s">
        <v>400</v>
      </c>
      <c r="J3666" s="12" t="str">
        <f>+VLOOKUP('MEMORIAS DE CANTIDADES'!C3666,'PROPUESTA ECONOMICA(Proponente)'!$C$379:$H$661,6,FALSE)</f>
        <v>m2</v>
      </c>
      <c r="K3666" s="11" t="s">
        <v>401</v>
      </c>
      <c r="L3666" s="643">
        <f>SUM(L3667:L3677)</f>
        <v>0</v>
      </c>
    </row>
    <row r="3667" spans="2:12" ht="15">
      <c r="B3667" s="644"/>
      <c r="C3667" s="16"/>
      <c r="D3667" s="15"/>
      <c r="E3667" s="15"/>
      <c r="F3667" s="15"/>
      <c r="G3667" s="15"/>
      <c r="H3667" s="15"/>
      <c r="I3667" s="15"/>
      <c r="J3667" s="15"/>
      <c r="K3667" s="17"/>
      <c r="L3667" s="645"/>
    </row>
    <row r="3668" spans="2:12" ht="47.25">
      <c r="B3668" s="646" t="s">
        <v>402</v>
      </c>
      <c r="C3668" s="18" t="s">
        <v>403</v>
      </c>
      <c r="D3668" s="18" t="s">
        <v>404</v>
      </c>
      <c r="E3668" s="18" t="s">
        <v>405</v>
      </c>
      <c r="F3668" s="18" t="s">
        <v>406</v>
      </c>
      <c r="G3668" s="18" t="s">
        <v>407</v>
      </c>
      <c r="H3668" s="5" t="s">
        <v>408</v>
      </c>
      <c r="I3668" s="18" t="s">
        <v>409</v>
      </c>
      <c r="J3668" s="5" t="s">
        <v>410</v>
      </c>
      <c r="K3668" s="5" t="s">
        <v>411</v>
      </c>
      <c r="L3668" s="647" t="s">
        <v>412</v>
      </c>
    </row>
    <row r="3669" spans="2:12" ht="15.75">
      <c r="B3669" s="746" t="s">
        <v>479</v>
      </c>
      <c r="C3669" s="18"/>
      <c r="D3669" s="18"/>
      <c r="E3669" s="59"/>
      <c r="F3669" s="45"/>
      <c r="G3669" s="18"/>
      <c r="H3669" s="5"/>
      <c r="I3669" s="55"/>
      <c r="J3669" s="56"/>
      <c r="K3669" s="5"/>
      <c r="L3669" s="649"/>
    </row>
    <row r="3670" spans="2:12" ht="15.75">
      <c r="B3670" s="745" t="s">
        <v>512</v>
      </c>
      <c r="C3670" s="18"/>
      <c r="D3670" s="59">
        <v>0</v>
      </c>
      <c r="E3670" s="59"/>
      <c r="F3670" s="45">
        <v>36.450000000000003</v>
      </c>
      <c r="G3670" s="18"/>
      <c r="H3670" s="5"/>
      <c r="I3670" s="55"/>
      <c r="J3670" s="56"/>
      <c r="K3670" s="5"/>
      <c r="L3670" s="649"/>
    </row>
    <row r="3671" spans="2:12" ht="15.75">
      <c r="B3671" s="745" t="s">
        <v>513</v>
      </c>
      <c r="C3671" s="18"/>
      <c r="D3671" s="59">
        <v>0</v>
      </c>
      <c r="E3671" s="59"/>
      <c r="F3671" s="45">
        <v>36.450000000000003</v>
      </c>
      <c r="G3671" s="18"/>
      <c r="H3671" s="5"/>
      <c r="I3671" s="55"/>
      <c r="J3671" s="56"/>
      <c r="K3671" s="5"/>
      <c r="L3671" s="649"/>
    </row>
    <row r="3672" spans="2:12" ht="15.75">
      <c r="B3672" s="745"/>
      <c r="C3672" s="18"/>
      <c r="D3672" s="59"/>
      <c r="E3672" s="59"/>
      <c r="F3672" s="45"/>
      <c r="G3672" s="18"/>
      <c r="H3672" s="5"/>
      <c r="I3672" s="55"/>
      <c r="J3672" s="56"/>
      <c r="K3672" s="5"/>
      <c r="L3672" s="649"/>
    </row>
    <row r="3673" spans="2:12" ht="15.75">
      <c r="B3673" s="745" t="s">
        <v>480</v>
      </c>
      <c r="C3673" s="18"/>
      <c r="D3673" s="59"/>
      <c r="E3673" s="59"/>
      <c r="F3673" s="45"/>
      <c r="G3673" s="18"/>
      <c r="H3673" s="5"/>
      <c r="I3673" s="55"/>
      <c r="J3673" s="56"/>
      <c r="K3673" s="5"/>
      <c r="L3673" s="649"/>
    </row>
    <row r="3674" spans="2:12" ht="15.75">
      <c r="B3674" s="745" t="s">
        <v>512</v>
      </c>
      <c r="C3674" s="18"/>
      <c r="D3674" s="59">
        <v>0</v>
      </c>
      <c r="E3674" s="59"/>
      <c r="F3674" s="45">
        <v>30.7</v>
      </c>
      <c r="G3674" s="18"/>
      <c r="H3674" s="5"/>
      <c r="I3674" s="55"/>
      <c r="J3674" s="56"/>
      <c r="K3674" s="5"/>
      <c r="L3674" s="649"/>
    </row>
    <row r="3675" spans="2:12" ht="15.75">
      <c r="B3675" s="745" t="s">
        <v>513</v>
      </c>
      <c r="C3675" s="18"/>
      <c r="D3675" s="59">
        <v>0</v>
      </c>
      <c r="E3675" s="59"/>
      <c r="F3675" s="45">
        <v>30.7</v>
      </c>
      <c r="G3675" s="18"/>
      <c r="H3675" s="5"/>
      <c r="I3675" s="55"/>
      <c r="J3675" s="56"/>
      <c r="K3675" s="5"/>
      <c r="L3675" s="649"/>
    </row>
    <row r="3676" spans="2:12" ht="15.75">
      <c r="B3676" s="745"/>
      <c r="C3676" s="18"/>
      <c r="D3676" s="59"/>
      <c r="E3676" s="59"/>
      <c r="F3676" s="45"/>
      <c r="G3676" s="18"/>
      <c r="H3676" s="5"/>
      <c r="I3676" s="55"/>
      <c r="J3676" s="56"/>
      <c r="K3676" s="5"/>
      <c r="L3676" s="649"/>
    </row>
    <row r="3677" spans="2:12" ht="15.75">
      <c r="B3677" s="981" t="s">
        <v>414</v>
      </c>
      <c r="C3677" s="982"/>
      <c r="D3677" s="982"/>
      <c r="E3677" s="982"/>
      <c r="F3677" s="982"/>
      <c r="G3677" s="982"/>
      <c r="H3677" s="982"/>
      <c r="I3677" s="982"/>
      <c r="J3677" s="982"/>
      <c r="K3677" s="982"/>
      <c r="L3677" s="983"/>
    </row>
    <row r="3678" spans="2:12">
      <c r="B3678" s="651"/>
      <c r="L3678" s="652"/>
    </row>
    <row r="3679" spans="2:12" ht="15.6" customHeight="1">
      <c r="B3679" s="638" t="s">
        <v>398</v>
      </c>
      <c r="C3679" s="8">
        <v>3</v>
      </c>
      <c r="D3679" s="1008" t="s">
        <v>1038</v>
      </c>
      <c r="E3679" s="1009"/>
      <c r="F3679" s="1009"/>
      <c r="G3679" s="1009"/>
      <c r="H3679" s="1009"/>
      <c r="I3679" s="1009"/>
      <c r="J3679" s="1009"/>
      <c r="K3679" s="1009"/>
      <c r="L3679" s="1010"/>
    </row>
    <row r="3680" spans="2:12" ht="15">
      <c r="B3680" s="1005"/>
      <c r="C3680" s="1006"/>
      <c r="D3680" s="1006"/>
      <c r="E3680" s="1006"/>
      <c r="F3680" s="1006"/>
      <c r="G3680" s="1006"/>
      <c r="H3680" s="1006"/>
      <c r="I3680" s="1006"/>
      <c r="J3680" s="1006"/>
      <c r="K3680" s="1006"/>
      <c r="L3680" s="1007"/>
    </row>
    <row r="3681" spans="2:12" ht="31.5">
      <c r="B3681" s="653" t="s">
        <v>399</v>
      </c>
      <c r="C3681" s="209">
        <v>3.9</v>
      </c>
      <c r="D3681" s="12" t="str">
        <f>+VLOOKUP('MEMORIAS DE CANTIDADES'!C3681,'PROPUESTA ECONOMICA(Proponente)'!$C$379:$H$661,5,FALSE)</f>
        <v>Losa  e=0,060, Concreto f¨c = 4000 PS  (incluye suministro e instalación)</v>
      </c>
      <c r="E3681" s="13"/>
      <c r="F3681" s="12"/>
      <c r="G3681" s="12"/>
      <c r="H3681" s="12"/>
      <c r="I3681" s="11" t="s">
        <v>400</v>
      </c>
      <c r="J3681" s="12" t="str">
        <f>+VLOOKUP('MEMORIAS DE CANTIDADES'!C3681,'PROPUESTA ECONOMICA(Proponente)'!$C$379:$H$661,6,FALSE)</f>
        <v>m2</v>
      </c>
      <c r="K3681" s="11" t="s">
        <v>401</v>
      </c>
      <c r="L3681" s="643">
        <f>SUM(L3682:L3692)</f>
        <v>103.41200000000001</v>
      </c>
    </row>
    <row r="3682" spans="2:12" ht="15">
      <c r="B3682" s="644"/>
      <c r="C3682" s="16"/>
      <c r="D3682" s="15"/>
      <c r="E3682" s="15"/>
      <c r="F3682" s="15"/>
      <c r="G3682" s="15"/>
      <c r="H3682" s="15"/>
      <c r="I3682" s="15"/>
      <c r="J3682" s="15"/>
      <c r="K3682" s="17"/>
      <c r="L3682" s="645"/>
    </row>
    <row r="3683" spans="2:12" ht="47.25">
      <c r="B3683" s="646" t="s">
        <v>402</v>
      </c>
      <c r="C3683" s="18" t="s">
        <v>403</v>
      </c>
      <c r="D3683" s="18" t="s">
        <v>404</v>
      </c>
      <c r="E3683" s="18" t="s">
        <v>405</v>
      </c>
      <c r="F3683" s="18" t="s">
        <v>406</v>
      </c>
      <c r="G3683" s="18" t="s">
        <v>407</v>
      </c>
      <c r="H3683" s="5" t="s">
        <v>408</v>
      </c>
      <c r="I3683" s="18" t="s">
        <v>409</v>
      </c>
      <c r="J3683" s="5" t="s">
        <v>410</v>
      </c>
      <c r="K3683" s="5" t="s">
        <v>411</v>
      </c>
      <c r="L3683" s="647" t="s">
        <v>412</v>
      </c>
    </row>
    <row r="3684" spans="2:12" ht="15.75">
      <c r="B3684" s="745" t="s">
        <v>514</v>
      </c>
      <c r="C3684" s="18"/>
      <c r="D3684" s="59"/>
      <c r="E3684" s="59"/>
      <c r="F3684" s="45"/>
      <c r="G3684" s="18"/>
      <c r="H3684" s="5"/>
      <c r="I3684" s="55"/>
      <c r="J3684" s="56"/>
      <c r="K3684" s="5"/>
      <c r="L3684" s="649"/>
    </row>
    <row r="3685" spans="2:12" ht="15.75">
      <c r="B3685" s="745" t="s">
        <v>515</v>
      </c>
      <c r="C3685" s="18"/>
      <c r="D3685" s="59">
        <v>4.4000000000000004</v>
      </c>
      <c r="E3685" s="59"/>
      <c r="F3685" s="45">
        <v>13.21</v>
      </c>
      <c r="G3685" s="18"/>
      <c r="H3685" s="5"/>
      <c r="I3685" s="55"/>
      <c r="J3685" s="56"/>
      <c r="K3685" s="5"/>
      <c r="L3685" s="649">
        <f t="shared" ref="L3685:L3688" si="261">PRODUCT(C3685:K3685)</f>
        <v>58.124000000000009</v>
      </c>
    </row>
    <row r="3686" spans="2:12" ht="15.75">
      <c r="B3686" s="745"/>
      <c r="C3686" s="18"/>
      <c r="D3686" s="59"/>
      <c r="E3686" s="59"/>
      <c r="F3686" s="45"/>
      <c r="G3686" s="18"/>
      <c r="H3686" s="5"/>
      <c r="I3686" s="55"/>
      <c r="J3686" s="56"/>
      <c r="K3686" s="5"/>
      <c r="L3686" s="649"/>
    </row>
    <row r="3687" spans="2:12" ht="15.75">
      <c r="B3687" s="746" t="s">
        <v>516</v>
      </c>
      <c r="C3687" s="18"/>
      <c r="D3687" s="48"/>
      <c r="E3687" s="48"/>
      <c r="F3687" s="45"/>
      <c r="G3687" s="18"/>
      <c r="H3687" s="5"/>
      <c r="I3687" s="55"/>
      <c r="J3687" s="56"/>
      <c r="K3687" s="5"/>
      <c r="L3687" s="649"/>
    </row>
    <row r="3688" spans="2:12" ht="15.75">
      <c r="B3688" s="746" t="s">
        <v>515</v>
      </c>
      <c r="C3688" s="18"/>
      <c r="D3688" s="48">
        <v>4.08</v>
      </c>
      <c r="E3688" s="48"/>
      <c r="F3688" s="45">
        <v>5.55</v>
      </c>
      <c r="G3688" s="18"/>
      <c r="H3688" s="5"/>
      <c r="I3688" s="55">
        <v>2</v>
      </c>
      <c r="J3688" s="56"/>
      <c r="K3688" s="5"/>
      <c r="L3688" s="649">
        <f t="shared" si="261"/>
        <v>45.287999999999997</v>
      </c>
    </row>
    <row r="3689" spans="2:12" ht="15.75">
      <c r="B3689" s="746"/>
      <c r="C3689" s="18"/>
      <c r="D3689" s="48"/>
      <c r="E3689" s="48"/>
      <c r="F3689" s="45"/>
      <c r="G3689" s="18"/>
      <c r="H3689" s="5"/>
      <c r="I3689" s="55"/>
      <c r="J3689" s="56"/>
      <c r="K3689" s="5"/>
      <c r="L3689" s="649"/>
    </row>
    <row r="3690" spans="2:12" ht="15.75">
      <c r="B3690" s="746"/>
      <c r="C3690" s="18"/>
      <c r="D3690" s="48"/>
      <c r="E3690" s="48"/>
      <c r="F3690" s="45"/>
      <c r="G3690" s="18"/>
      <c r="H3690" s="5"/>
      <c r="I3690" s="55"/>
      <c r="J3690" s="56"/>
      <c r="K3690" s="5"/>
      <c r="L3690" s="649"/>
    </row>
    <row r="3691" spans="2:12">
      <c r="B3691" s="655"/>
      <c r="C3691" s="39"/>
      <c r="D3691" s="39"/>
      <c r="E3691" s="39"/>
      <c r="F3691" s="39"/>
      <c r="G3691" s="39"/>
      <c r="H3691" s="39"/>
      <c r="I3691" s="39"/>
      <c r="J3691" s="39"/>
      <c r="K3691" s="39"/>
      <c r="L3691" s="738"/>
    </row>
    <row r="3692" spans="2:12" ht="15.75">
      <c r="B3692" s="981" t="s">
        <v>414</v>
      </c>
      <c r="C3692" s="982"/>
      <c r="D3692" s="982"/>
      <c r="E3692" s="982"/>
      <c r="F3692" s="982"/>
      <c r="G3692" s="982"/>
      <c r="H3692" s="982"/>
      <c r="I3692" s="982"/>
      <c r="J3692" s="982"/>
      <c r="K3692" s="982"/>
      <c r="L3692" s="983"/>
    </row>
    <row r="3693" spans="2:12">
      <c r="B3693" s="651"/>
      <c r="L3693" s="652"/>
    </row>
    <row r="3694" spans="2:12" ht="15" customHeight="1">
      <c r="B3694" s="638" t="s">
        <v>398</v>
      </c>
      <c r="C3694" s="8">
        <v>3</v>
      </c>
      <c r="D3694" s="1008" t="s">
        <v>1038</v>
      </c>
      <c r="E3694" s="1009"/>
      <c r="F3694" s="1009"/>
      <c r="G3694" s="1009"/>
      <c r="H3694" s="1009"/>
      <c r="I3694" s="1009"/>
      <c r="J3694" s="1009"/>
      <c r="K3694" s="1009"/>
      <c r="L3694" s="1010"/>
    </row>
    <row r="3695" spans="2:12" ht="15">
      <c r="B3695" s="1005"/>
      <c r="C3695" s="1006"/>
      <c r="D3695" s="1006"/>
      <c r="E3695" s="1006"/>
      <c r="F3695" s="1006"/>
      <c r="G3695" s="1006"/>
      <c r="H3695" s="1006"/>
      <c r="I3695" s="1006"/>
      <c r="J3695" s="1006"/>
      <c r="K3695" s="1006"/>
      <c r="L3695" s="1007"/>
    </row>
    <row r="3696" spans="2:12" ht="31.5">
      <c r="B3696" s="653" t="s">
        <v>399</v>
      </c>
      <c r="C3696" s="241" t="s">
        <v>583</v>
      </c>
      <c r="D3696" s="12" t="str">
        <f>+VLOOKUP('MEMORIAS DE CANTIDADES'!C3696,'PROPUESTA ECONOMICA(Proponente)'!$C$379:$H$661,5,FALSE)</f>
        <v>Losa Graderías e=0,15, Concreto f¨c = 4000 PS  (incluye suministro e instalación)</v>
      </c>
      <c r="E3696" s="13"/>
      <c r="F3696" s="12"/>
      <c r="G3696" s="12"/>
      <c r="H3696" s="12"/>
      <c r="I3696" s="11" t="s">
        <v>400</v>
      </c>
      <c r="J3696" s="12" t="str">
        <f>+VLOOKUP('MEMORIAS DE CANTIDADES'!C3696,'PROPUESTA ECONOMICA(Proponente)'!$C$379:$H$661,6,FALSE)</f>
        <v>m2</v>
      </c>
      <c r="K3696" s="11" t="s">
        <v>401</v>
      </c>
      <c r="L3696" s="643">
        <f>SUM(L3697:L3715)</f>
        <v>1149.7940000000001</v>
      </c>
    </row>
    <row r="3697" spans="2:12" ht="15">
      <c r="B3697" s="644"/>
      <c r="C3697" s="16"/>
      <c r="D3697" s="15"/>
      <c r="E3697" s="15"/>
      <c r="F3697" s="15"/>
      <c r="G3697" s="15"/>
      <c r="H3697" s="15"/>
      <c r="I3697" s="15"/>
      <c r="J3697" s="15"/>
      <c r="K3697" s="17"/>
      <c r="L3697" s="645"/>
    </row>
    <row r="3698" spans="2:12" ht="47.25">
      <c r="B3698" s="646" t="s">
        <v>402</v>
      </c>
      <c r="C3698" s="18" t="s">
        <v>403</v>
      </c>
      <c r="D3698" s="18" t="s">
        <v>404</v>
      </c>
      <c r="E3698" s="18" t="s">
        <v>405</v>
      </c>
      <c r="F3698" s="18" t="s">
        <v>406</v>
      </c>
      <c r="G3698" s="18" t="s">
        <v>407</v>
      </c>
      <c r="H3698" s="5" t="s">
        <v>408</v>
      </c>
      <c r="I3698" s="18" t="s">
        <v>409</v>
      </c>
      <c r="J3698" s="5" t="s">
        <v>410</v>
      </c>
      <c r="K3698" s="5" t="s">
        <v>411</v>
      </c>
      <c r="L3698" s="647" t="s">
        <v>412</v>
      </c>
    </row>
    <row r="3699" spans="2:12" ht="15.75">
      <c r="B3699" s="745" t="s">
        <v>514</v>
      </c>
      <c r="C3699" s="18"/>
      <c r="D3699" s="59"/>
      <c r="E3699" s="59"/>
      <c r="F3699" s="45"/>
      <c r="G3699" s="18"/>
      <c r="H3699" s="5"/>
      <c r="I3699" s="55"/>
      <c r="J3699" s="56"/>
      <c r="K3699" s="5"/>
      <c r="L3699" s="649"/>
    </row>
    <row r="3700" spans="2:12" ht="15.75">
      <c r="B3700" s="745" t="s">
        <v>518</v>
      </c>
      <c r="C3700" s="18"/>
      <c r="D3700" s="59">
        <v>6.2</v>
      </c>
      <c r="E3700" s="59"/>
      <c r="F3700" s="45">
        <v>22.7</v>
      </c>
      <c r="G3700" s="18"/>
      <c r="H3700" s="5"/>
      <c r="I3700" s="55"/>
      <c r="J3700" s="56"/>
      <c r="K3700" s="5"/>
      <c r="L3700" s="649">
        <f t="shared" ref="L3700" si="262">PRODUCT(C3700:K3700)</f>
        <v>140.74</v>
      </c>
    </row>
    <row r="3701" spans="2:12" ht="15.75">
      <c r="B3701" s="745"/>
      <c r="C3701" s="18"/>
      <c r="D3701" s="59"/>
      <c r="E3701" s="59"/>
      <c r="F3701" s="45"/>
      <c r="G3701" s="18"/>
      <c r="H3701" s="5"/>
      <c r="I3701" s="55"/>
      <c r="J3701" s="56"/>
      <c r="K3701" s="5"/>
      <c r="L3701" s="649"/>
    </row>
    <row r="3702" spans="2:12" ht="15.75">
      <c r="B3702" s="745" t="s">
        <v>516</v>
      </c>
      <c r="C3702" s="18"/>
      <c r="D3702" s="59"/>
      <c r="E3702" s="59"/>
      <c r="F3702" s="45"/>
      <c r="G3702" s="18"/>
      <c r="H3702" s="5"/>
      <c r="I3702" s="55"/>
      <c r="J3702" s="56"/>
      <c r="K3702" s="5"/>
      <c r="L3702" s="649"/>
    </row>
    <row r="3703" spans="2:12" ht="15.75">
      <c r="B3703" s="745" t="s">
        <v>515</v>
      </c>
      <c r="C3703" s="18"/>
      <c r="D3703" s="59">
        <v>5.8</v>
      </c>
      <c r="E3703" s="59"/>
      <c r="F3703" s="45">
        <v>11</v>
      </c>
      <c r="G3703" s="18"/>
      <c r="H3703" s="5"/>
      <c r="I3703" s="55">
        <v>2</v>
      </c>
      <c r="J3703" s="56"/>
      <c r="K3703" s="5"/>
      <c r="L3703" s="649">
        <f t="shared" ref="L3703" si="263">PRODUCT(C3703:K3703)</f>
        <v>127.6</v>
      </c>
    </row>
    <row r="3704" spans="2:12" ht="15.75">
      <c r="B3704" s="745"/>
      <c r="C3704" s="18"/>
      <c r="D3704" s="59"/>
      <c r="E3704" s="59"/>
      <c r="F3704" s="45"/>
      <c r="G3704" s="18"/>
      <c r="H3704" s="5"/>
      <c r="I3704" s="55"/>
      <c r="J3704" s="56"/>
      <c r="K3704" s="5"/>
      <c r="L3704" s="649"/>
    </row>
    <row r="3705" spans="2:12" ht="15.75">
      <c r="B3705" s="826" t="s">
        <v>886</v>
      </c>
      <c r="C3705" s="18"/>
      <c r="D3705" s="59"/>
      <c r="E3705" s="59"/>
      <c r="F3705" s="45"/>
      <c r="G3705" s="18"/>
      <c r="H3705" s="5"/>
      <c r="I3705" s="55"/>
      <c r="J3705" s="56"/>
      <c r="K3705" s="5"/>
      <c r="L3705" s="649"/>
    </row>
    <row r="3706" spans="2:12" ht="15.75">
      <c r="B3706" s="826" t="s">
        <v>459</v>
      </c>
      <c r="C3706" s="18"/>
      <c r="D3706" s="59">
        <v>4.3</v>
      </c>
      <c r="E3706" s="59"/>
      <c r="F3706" s="45">
        <v>12.05</v>
      </c>
      <c r="G3706" s="18"/>
      <c r="H3706" s="5"/>
      <c r="I3706" s="55">
        <v>2</v>
      </c>
      <c r="J3706" s="56">
        <v>6</v>
      </c>
      <c r="K3706" s="5"/>
      <c r="L3706" s="649">
        <f t="shared" ref="L3706" si="264">PRODUCT(C3706:K3706)-(0.6*3.92)</f>
        <v>619.428</v>
      </c>
    </row>
    <row r="3707" spans="2:12" ht="15.75">
      <c r="B3707" s="826" t="s">
        <v>889</v>
      </c>
      <c r="C3707" s="18"/>
      <c r="D3707" s="59"/>
      <c r="E3707" s="59"/>
      <c r="F3707" s="45"/>
      <c r="G3707" s="18"/>
      <c r="H3707" s="5"/>
      <c r="I3707" s="55"/>
      <c r="J3707" s="56"/>
      <c r="K3707" s="5"/>
      <c r="L3707" s="649"/>
    </row>
    <row r="3708" spans="2:12" ht="15.75">
      <c r="B3708" s="826" t="s">
        <v>459</v>
      </c>
      <c r="C3708" s="18"/>
      <c r="D3708" s="59">
        <v>4.3</v>
      </c>
      <c r="E3708" s="59"/>
      <c r="F3708" s="45">
        <v>12.05</v>
      </c>
      <c r="G3708" s="18"/>
      <c r="H3708" s="5"/>
      <c r="I3708" s="55">
        <v>2</v>
      </c>
      <c r="J3708" s="56"/>
      <c r="K3708" s="5"/>
      <c r="L3708" s="649">
        <f>PRODUCT(C3708:K3708)-(0.6*3.92)</f>
        <v>101.27799999999999</v>
      </c>
    </row>
    <row r="3709" spans="2:12" ht="15.75">
      <c r="B3709" s="826"/>
      <c r="C3709" s="18"/>
      <c r="D3709" s="59"/>
      <c r="E3709" s="59"/>
      <c r="F3709" s="45"/>
      <c r="G3709" s="18"/>
      <c r="H3709" s="5"/>
      <c r="I3709" s="55"/>
      <c r="J3709" s="56"/>
      <c r="K3709" s="5"/>
      <c r="L3709" s="649"/>
    </row>
    <row r="3710" spans="2:12" ht="15.75">
      <c r="B3710" s="826" t="s">
        <v>852</v>
      </c>
      <c r="C3710" s="18"/>
      <c r="D3710" s="59"/>
      <c r="E3710" s="59"/>
      <c r="F3710" s="45"/>
      <c r="G3710" s="18"/>
      <c r="H3710" s="5"/>
      <c r="I3710" s="55"/>
      <c r="J3710" s="56"/>
      <c r="K3710" s="5"/>
      <c r="L3710" s="649"/>
    </row>
    <row r="3711" spans="2:12" ht="15.75">
      <c r="B3711" s="827" t="s">
        <v>459</v>
      </c>
      <c r="C3711" s="18"/>
      <c r="D3711" s="48">
        <v>4.3</v>
      </c>
      <c r="E3711" s="48"/>
      <c r="F3711" s="45">
        <v>8.5</v>
      </c>
      <c r="G3711" s="18"/>
      <c r="H3711" s="5"/>
      <c r="I3711" s="55">
        <v>2</v>
      </c>
      <c r="J3711" s="56"/>
      <c r="K3711" s="5"/>
      <c r="L3711" s="649">
        <f>PRODUCT(C3711:K3711)-(0.6*3.92)</f>
        <v>70.74799999999999</v>
      </c>
    </row>
    <row r="3712" spans="2:12" ht="15.75">
      <c r="B3712" s="827"/>
      <c r="C3712" s="18"/>
      <c r="D3712" s="48"/>
      <c r="E3712" s="48"/>
      <c r="F3712" s="45"/>
      <c r="G3712" s="18"/>
      <c r="H3712" s="5"/>
      <c r="I3712" s="55"/>
      <c r="J3712" s="56"/>
      <c r="K3712" s="5"/>
      <c r="L3712" s="649"/>
    </row>
    <row r="3713" spans="2:12" ht="15.75">
      <c r="B3713" s="746" t="s">
        <v>982</v>
      </c>
      <c r="C3713" s="18"/>
      <c r="D3713" s="48">
        <v>4.5</v>
      </c>
      <c r="E3713" s="48"/>
      <c r="F3713" s="210">
        <v>4.5</v>
      </c>
      <c r="G3713" s="18"/>
      <c r="H3713" s="5"/>
      <c r="I3713" s="55">
        <v>4</v>
      </c>
      <c r="J3713" s="56"/>
      <c r="K3713" s="5"/>
      <c r="L3713" s="649">
        <f>PRODUCT(C3713:K3713)</f>
        <v>81</v>
      </c>
    </row>
    <row r="3714" spans="2:12" ht="15.75">
      <c r="B3714" s="827"/>
      <c r="C3714" s="18"/>
      <c r="D3714" s="48">
        <v>4.5</v>
      </c>
      <c r="E3714" s="48"/>
      <c r="F3714" s="45">
        <v>2</v>
      </c>
      <c r="G3714" s="18"/>
      <c r="H3714" s="5"/>
      <c r="I3714" s="55">
        <v>1</v>
      </c>
      <c r="J3714" s="56"/>
      <c r="K3714" s="5"/>
      <c r="L3714" s="649">
        <f>PRODUCT(C3714:K3714)</f>
        <v>9</v>
      </c>
    </row>
    <row r="3715" spans="2:12" ht="15.75">
      <c r="B3715" s="981" t="s">
        <v>414</v>
      </c>
      <c r="C3715" s="982"/>
      <c r="D3715" s="982"/>
      <c r="E3715" s="982"/>
      <c r="F3715" s="982"/>
      <c r="G3715" s="982"/>
      <c r="H3715" s="982"/>
      <c r="I3715" s="982"/>
      <c r="J3715" s="982"/>
      <c r="K3715" s="982"/>
      <c r="L3715" s="983"/>
    </row>
    <row r="3716" spans="2:12">
      <c r="B3716" s="651"/>
      <c r="L3716" s="652"/>
    </row>
    <row r="3717" spans="2:12" ht="15.6" customHeight="1">
      <c r="B3717" s="638" t="s">
        <v>398</v>
      </c>
      <c r="C3717" s="8">
        <v>3</v>
      </c>
      <c r="D3717" s="1008" t="s">
        <v>1038</v>
      </c>
      <c r="E3717" s="1009"/>
      <c r="F3717" s="1009"/>
      <c r="G3717" s="1009"/>
      <c r="H3717" s="1009"/>
      <c r="I3717" s="1009"/>
      <c r="J3717" s="1009"/>
      <c r="K3717" s="1009"/>
      <c r="L3717" s="1010"/>
    </row>
    <row r="3718" spans="2:12" ht="15">
      <c r="B3718" s="1005"/>
      <c r="C3718" s="1006"/>
      <c r="D3718" s="1006"/>
      <c r="E3718" s="1006"/>
      <c r="F3718" s="1006"/>
      <c r="G3718" s="1006"/>
      <c r="H3718" s="1006"/>
      <c r="I3718" s="1006"/>
      <c r="J3718" s="1006"/>
      <c r="K3718" s="1006"/>
      <c r="L3718" s="1007"/>
    </row>
    <row r="3719" spans="2:12" ht="31.5">
      <c r="B3719" s="733" t="s">
        <v>399</v>
      </c>
      <c r="C3719" s="67" t="s">
        <v>519</v>
      </c>
      <c r="D3719" s="12" t="str">
        <f>+VLOOKUP('MEMORIAS DE CANTIDADES'!C3719,'PROPUESTA ECONOMICA(Proponente)'!$C$379:$H$661,5,FALSE)</f>
        <v>CONCRETO PARA BOXCULVERT 4000 PSI., (Incluye suministro, formaletería e instalación).</v>
      </c>
      <c r="E3719" s="13"/>
      <c r="F3719" s="12"/>
      <c r="G3719" s="12"/>
      <c r="H3719" s="12"/>
      <c r="I3719" s="11" t="s">
        <v>400</v>
      </c>
      <c r="J3719" s="12" t="str">
        <f>+VLOOKUP('MEMORIAS DE CANTIDADES'!C3719,'PROPUESTA ECONOMICA(Proponente)'!$C$379:$H$661,6,FALSE)</f>
        <v>m3</v>
      </c>
      <c r="K3719" s="11" t="s">
        <v>401</v>
      </c>
      <c r="L3719" s="643">
        <f>SUM(L3720:L3729)</f>
        <v>1565.1113</v>
      </c>
    </row>
    <row r="3720" spans="2:12" ht="15">
      <c r="B3720" s="644"/>
      <c r="C3720" s="16"/>
      <c r="D3720" s="15"/>
      <c r="E3720" s="15"/>
      <c r="F3720" s="15"/>
      <c r="G3720" s="15"/>
      <c r="H3720" s="15"/>
      <c r="I3720" s="15"/>
      <c r="J3720" s="15"/>
      <c r="K3720" s="17"/>
      <c r="L3720" s="645"/>
    </row>
    <row r="3721" spans="2:12" ht="15.6" customHeight="1">
      <c r="B3721" s="646" t="s">
        <v>402</v>
      </c>
      <c r="C3721" s="18" t="s">
        <v>403</v>
      </c>
      <c r="D3721" s="18" t="s">
        <v>404</v>
      </c>
      <c r="E3721" s="18" t="s">
        <v>405</v>
      </c>
      <c r="F3721" s="18" t="s">
        <v>406</v>
      </c>
      <c r="G3721" s="18" t="s">
        <v>407</v>
      </c>
      <c r="H3721" s="5" t="s">
        <v>408</v>
      </c>
      <c r="I3721" s="18" t="s">
        <v>409</v>
      </c>
      <c r="J3721" s="5" t="s">
        <v>410</v>
      </c>
      <c r="K3721" s="5" t="s">
        <v>411</v>
      </c>
      <c r="L3721" s="647" t="s">
        <v>412</v>
      </c>
    </row>
    <row r="3722" spans="2:12" ht="15.75">
      <c r="B3722" s="734" t="s">
        <v>496</v>
      </c>
      <c r="C3722" s="72">
        <v>1.78</v>
      </c>
      <c r="D3722" s="19"/>
      <c r="E3722" s="59"/>
      <c r="F3722" s="47">
        <v>222</v>
      </c>
      <c r="G3722" s="57"/>
      <c r="H3722" s="21"/>
      <c r="I3722" s="55"/>
      <c r="J3722" s="56"/>
      <c r="K3722" s="5"/>
      <c r="L3722" s="649">
        <f>PRODUCT(C3722:K3722)</f>
        <v>395.16</v>
      </c>
    </row>
    <row r="3723" spans="2:12" ht="15.75">
      <c r="B3723" s="734" t="s">
        <v>497</v>
      </c>
      <c r="C3723" s="72">
        <v>6.4</v>
      </c>
      <c r="D3723" s="19"/>
      <c r="E3723" s="59"/>
      <c r="F3723" s="47">
        <v>173</v>
      </c>
      <c r="G3723" s="57"/>
      <c r="H3723" s="21"/>
      <c r="I3723" s="55"/>
      <c r="J3723" s="56"/>
      <c r="K3723" s="5"/>
      <c r="L3723" s="649">
        <f t="shared" ref="L3723" si="265">PRODUCT(C3723:K3723)</f>
        <v>1107.2</v>
      </c>
    </row>
    <row r="3724" spans="2:12" ht="15.75">
      <c r="B3724" s="745"/>
      <c r="C3724" s="18"/>
      <c r="D3724" s="59"/>
      <c r="E3724" s="59"/>
      <c r="F3724" s="45"/>
      <c r="G3724" s="18"/>
      <c r="H3724" s="5"/>
      <c r="I3724" s="55"/>
      <c r="J3724" s="56"/>
      <c r="K3724" s="5"/>
      <c r="L3724" s="649"/>
    </row>
    <row r="3725" spans="2:12" ht="15.75">
      <c r="B3725" s="745"/>
      <c r="C3725" s="18"/>
      <c r="D3725" s="59"/>
      <c r="E3725" s="59"/>
      <c r="F3725" s="45"/>
      <c r="G3725" s="18"/>
      <c r="H3725" s="5"/>
      <c r="I3725" s="55"/>
      <c r="J3725" s="56"/>
      <c r="K3725" s="5"/>
      <c r="L3725" s="649"/>
    </row>
    <row r="3726" spans="2:12" ht="15.75">
      <c r="B3726" s="734" t="s">
        <v>984</v>
      </c>
      <c r="C3726" s="18"/>
      <c r="E3726" s="59"/>
      <c r="F3726" s="45"/>
      <c r="G3726" s="18"/>
      <c r="H3726" s="5"/>
      <c r="I3726" s="55"/>
      <c r="J3726" s="56">
        <f>((7.01*0.15*15)+(0.45*18.6*3)+(18.53*3*0.32))+((0.68*4*1.5))</f>
        <v>62.751300000000001</v>
      </c>
      <c r="K3726" s="5"/>
      <c r="L3726" s="649">
        <f>PRODUCT(C3726:K3726)</f>
        <v>62.751300000000001</v>
      </c>
    </row>
    <row r="3727" spans="2:12" ht="15.75">
      <c r="B3727" s="745"/>
      <c r="C3727" s="18"/>
      <c r="D3727" s="59"/>
      <c r="E3727" s="59"/>
      <c r="F3727" s="45"/>
      <c r="G3727" s="18"/>
      <c r="H3727" s="5"/>
      <c r="I3727" s="55"/>
      <c r="J3727" s="56"/>
      <c r="K3727" s="5"/>
      <c r="L3727" s="649"/>
    </row>
    <row r="3728" spans="2:12" ht="15.75">
      <c r="B3728" s="745"/>
      <c r="C3728" s="18"/>
      <c r="D3728" s="59"/>
      <c r="E3728" s="59"/>
      <c r="F3728" s="45"/>
      <c r="G3728" s="18"/>
      <c r="H3728" s="5"/>
      <c r="I3728" s="55"/>
      <c r="J3728" s="56"/>
      <c r="K3728" s="5"/>
      <c r="L3728" s="649"/>
    </row>
    <row r="3729" spans="2:12" ht="15.75">
      <c r="B3729" s="981" t="s">
        <v>414</v>
      </c>
      <c r="C3729" s="982"/>
      <c r="D3729" s="982"/>
      <c r="E3729" s="982"/>
      <c r="F3729" s="982"/>
      <c r="G3729" s="982"/>
      <c r="H3729" s="982"/>
      <c r="I3729" s="982"/>
      <c r="J3729" s="982"/>
      <c r="K3729" s="982"/>
      <c r="L3729" s="983"/>
    </row>
    <row r="3730" spans="2:12">
      <c r="B3730" s="651"/>
      <c r="L3730" s="652"/>
    </row>
    <row r="3731" spans="2:12" ht="15.6" customHeight="1">
      <c r="B3731" s="638" t="s">
        <v>398</v>
      </c>
      <c r="C3731" s="8">
        <v>4</v>
      </c>
      <c r="D3731" s="1008" t="s">
        <v>917</v>
      </c>
      <c r="E3731" s="1009"/>
      <c r="F3731" s="1009"/>
      <c r="G3731" s="1009"/>
      <c r="H3731" s="1009"/>
      <c r="I3731" s="1009"/>
      <c r="J3731" s="1009"/>
      <c r="K3731" s="1009"/>
      <c r="L3731" s="1010"/>
    </row>
    <row r="3732" spans="2:12" ht="15">
      <c r="B3732" s="1005"/>
      <c r="C3732" s="1006"/>
      <c r="D3732" s="1006"/>
      <c r="E3732" s="1006"/>
      <c r="F3732" s="1006"/>
      <c r="G3732" s="1006"/>
      <c r="H3732" s="1006"/>
      <c r="I3732" s="1006"/>
      <c r="J3732" s="1006"/>
      <c r="K3732" s="1006"/>
      <c r="L3732" s="1007"/>
    </row>
    <row r="3733" spans="2:12" ht="47.25">
      <c r="B3733" s="642" t="s">
        <v>399</v>
      </c>
      <c r="C3733" s="25">
        <f>+'PROPUESTA ECONOMICA(Proponente)'!C409</f>
        <v>4.0999999999999996</v>
      </c>
      <c r="D3733" s="12" t="str">
        <f>+VLOOKUP('MEMORIAS DE CANTIDADES'!C3733,'PROPUESTA ECONOMICA(Proponente)'!$C$379:$H$661,5,FALSE)</f>
        <v>EXCAVACIONES MECANICAS VARIAS EN MATERIAL COMUN SECO (Incluye cargue, transporte y disposición final).</v>
      </c>
      <c r="E3733" s="13"/>
      <c r="F3733" s="12"/>
      <c r="G3733" s="12"/>
      <c r="H3733" s="12"/>
      <c r="I3733" s="11" t="s">
        <v>400</v>
      </c>
      <c r="J3733" s="12" t="str">
        <f>+VLOOKUP('MEMORIAS DE CANTIDADES'!C3733,'PROPUESTA ECONOMICA(Proponente)'!$C$379:$H$661,6,FALSE)</f>
        <v>m3</v>
      </c>
      <c r="K3733" s="11" t="s">
        <v>401</v>
      </c>
      <c r="L3733" s="643">
        <f>SUM(L3734:L3740)</f>
        <v>3384.2050000000008</v>
      </c>
    </row>
    <row r="3734" spans="2:12" ht="15">
      <c r="B3734" s="644"/>
      <c r="C3734" s="16"/>
      <c r="D3734" s="15"/>
      <c r="E3734" s="15"/>
      <c r="F3734" s="15"/>
      <c r="G3734" s="15"/>
      <c r="H3734" s="15"/>
      <c r="I3734" s="15"/>
      <c r="J3734" s="15"/>
      <c r="K3734" s="17"/>
      <c r="L3734" s="645"/>
    </row>
    <row r="3735" spans="2:12" ht="47.25">
      <c r="B3735" s="646" t="s">
        <v>402</v>
      </c>
      <c r="C3735" s="18" t="s">
        <v>403</v>
      </c>
      <c r="D3735" s="18" t="s">
        <v>404</v>
      </c>
      <c r="E3735" s="18" t="s">
        <v>405</v>
      </c>
      <c r="F3735" s="18" t="s">
        <v>406</v>
      </c>
      <c r="G3735" s="18" t="s">
        <v>407</v>
      </c>
      <c r="H3735" s="5" t="s">
        <v>408</v>
      </c>
      <c r="I3735" s="18" t="s">
        <v>409</v>
      </c>
      <c r="J3735" s="5" t="s">
        <v>410</v>
      </c>
      <c r="K3735" s="5" t="s">
        <v>411</v>
      </c>
      <c r="L3735" s="647" t="s">
        <v>412</v>
      </c>
    </row>
    <row r="3736" spans="2:12" ht="15">
      <c r="B3736" s="648" t="s">
        <v>461</v>
      </c>
      <c r="C3736" s="19"/>
      <c r="D3736" s="19">
        <v>44.2</v>
      </c>
      <c r="E3736" s="19">
        <v>0.5</v>
      </c>
      <c r="F3736" s="19">
        <v>75.5</v>
      </c>
      <c r="G3736" s="20"/>
      <c r="H3736" s="21"/>
      <c r="I3736" s="17">
        <v>1.1000000000000001</v>
      </c>
      <c r="J3736" s="28"/>
      <c r="K3736" s="17"/>
      <c r="L3736" s="649">
        <f>PRODUCT(C3736:K3736)</f>
        <v>1835.4050000000004</v>
      </c>
    </row>
    <row r="3737" spans="2:12" ht="15">
      <c r="B3737" s="648" t="s">
        <v>462</v>
      </c>
      <c r="C3737" s="20"/>
      <c r="D3737" s="19">
        <v>44</v>
      </c>
      <c r="E3737" s="19">
        <v>0.5</v>
      </c>
      <c r="F3737" s="19">
        <v>64</v>
      </c>
      <c r="G3737" s="20"/>
      <c r="H3737" s="20"/>
      <c r="I3737" s="17">
        <v>1.1000000000000001</v>
      </c>
      <c r="J3737" s="19"/>
      <c r="K3737" s="17"/>
      <c r="L3737" s="649">
        <f t="shared" ref="L3737" si="266">PRODUCT(C3737:K3737)</f>
        <v>1548.8000000000002</v>
      </c>
    </row>
    <row r="3738" spans="2:12" ht="15">
      <c r="B3738" s="650"/>
      <c r="C3738" s="20"/>
      <c r="D3738" s="20"/>
      <c r="E3738" s="20"/>
      <c r="F3738" s="20"/>
      <c r="G3738" s="20"/>
      <c r="H3738" s="20"/>
      <c r="I3738" s="20"/>
      <c r="J3738" s="19"/>
      <c r="K3738" s="17"/>
      <c r="L3738" s="649"/>
    </row>
    <row r="3739" spans="2:12" ht="15">
      <c r="B3739" s="650"/>
      <c r="C3739" s="20"/>
      <c r="D3739" s="20"/>
      <c r="E3739" s="20"/>
      <c r="F3739" s="20"/>
      <c r="G3739" s="20"/>
      <c r="H3739" s="19"/>
      <c r="I3739" s="20"/>
      <c r="J3739" s="19"/>
      <c r="K3739" s="17"/>
      <c r="L3739" s="649"/>
    </row>
    <row r="3740" spans="2:12" ht="15">
      <c r="B3740" s="650"/>
      <c r="C3740" s="20"/>
      <c r="D3740" s="20"/>
      <c r="E3740" s="20"/>
      <c r="F3740" s="20"/>
      <c r="G3740" s="20"/>
      <c r="H3740" s="19"/>
      <c r="I3740" s="20"/>
      <c r="J3740" s="19"/>
      <c r="K3740" s="17"/>
      <c r="L3740" s="649"/>
    </row>
    <row r="3741" spans="2:12">
      <c r="B3741" s="651"/>
      <c r="L3741" s="652"/>
    </row>
    <row r="3742" spans="2:12" ht="46.9" customHeight="1">
      <c r="B3742" s="638" t="s">
        <v>398</v>
      </c>
      <c r="C3742" s="8">
        <v>4</v>
      </c>
      <c r="D3742" s="1008" t="s">
        <v>917</v>
      </c>
      <c r="E3742" s="1009"/>
      <c r="F3742" s="1009"/>
      <c r="G3742" s="1009"/>
      <c r="H3742" s="1009"/>
      <c r="I3742" s="1009"/>
      <c r="J3742" s="1014"/>
      <c r="K3742" s="27"/>
      <c r="L3742" s="750"/>
    </row>
    <row r="3743" spans="2:12" ht="15">
      <c r="B3743" s="1005"/>
      <c r="C3743" s="1006"/>
      <c r="D3743" s="1006"/>
      <c r="E3743" s="1006"/>
      <c r="F3743" s="1006"/>
      <c r="G3743" s="1006"/>
      <c r="H3743" s="1006"/>
      <c r="I3743" s="1006"/>
      <c r="J3743" s="1006"/>
      <c r="K3743" s="1006"/>
      <c r="L3743" s="1007"/>
    </row>
    <row r="3744" spans="2:12" ht="31.5">
      <c r="B3744" s="642" t="s">
        <v>399</v>
      </c>
      <c r="C3744" s="25">
        <f>+'PROPUESTA ECONOMICA(Proponente)'!C410</f>
        <v>4.2</v>
      </c>
      <c r="D3744" s="12" t="str">
        <f>+VLOOKUP('MEMORIAS DE CANTIDADES'!C3744,'PROPUESTA ECONOMICA(Proponente)'!$C$379:$H$661,5,FALSE)</f>
        <v>EXCAVACIONES: (Excavación manual incluye cargue, transporte y disposición final)</v>
      </c>
      <c r="E3744" s="13"/>
      <c r="F3744" s="12"/>
      <c r="G3744" s="12"/>
      <c r="H3744" s="12"/>
      <c r="I3744" s="11" t="s">
        <v>400</v>
      </c>
      <c r="J3744" s="12" t="str">
        <f>+VLOOKUP('MEMORIAS DE CANTIDADES'!C3744,'PROPUESTA ECONOMICA(Proponente)'!$C$379:$H$661,6,FALSE)</f>
        <v>m3</v>
      </c>
      <c r="K3744" s="11" t="s">
        <v>401</v>
      </c>
      <c r="L3744" s="643">
        <f>SUM(L3745:L3760)</f>
        <v>960.56400000000008</v>
      </c>
    </row>
    <row r="3745" spans="2:12" ht="15">
      <c r="B3745" s="644"/>
      <c r="C3745" s="16"/>
      <c r="D3745" s="15"/>
      <c r="E3745" s="15"/>
      <c r="F3745" s="15"/>
      <c r="G3745" s="15"/>
      <c r="H3745" s="15"/>
      <c r="I3745" s="15"/>
      <c r="J3745" s="15"/>
      <c r="K3745" s="17"/>
      <c r="L3745" s="645"/>
    </row>
    <row r="3746" spans="2:12" ht="47.25">
      <c r="B3746" s="646" t="s">
        <v>402</v>
      </c>
      <c r="C3746" s="18" t="s">
        <v>403</v>
      </c>
      <c r="D3746" s="18" t="s">
        <v>404</v>
      </c>
      <c r="E3746" s="18" t="s">
        <v>405</v>
      </c>
      <c r="F3746" s="18" t="s">
        <v>406</v>
      </c>
      <c r="G3746" s="18" t="s">
        <v>407</v>
      </c>
      <c r="H3746" s="5" t="s">
        <v>408</v>
      </c>
      <c r="I3746" s="18" t="s">
        <v>409</v>
      </c>
      <c r="J3746" s="5" t="s">
        <v>410</v>
      </c>
      <c r="K3746" s="5" t="s">
        <v>411</v>
      </c>
      <c r="L3746" s="647" t="s">
        <v>412</v>
      </c>
    </row>
    <row r="3747" spans="2:12" ht="15">
      <c r="B3747" s="650" t="s">
        <v>461</v>
      </c>
      <c r="C3747" s="19" t="s">
        <v>520</v>
      </c>
      <c r="D3747" s="19">
        <v>0.9</v>
      </c>
      <c r="E3747" s="39">
        <v>1</v>
      </c>
      <c r="F3747" s="72">
        <v>200</v>
      </c>
      <c r="G3747" s="20"/>
      <c r="H3747" s="21"/>
      <c r="I3747" s="17"/>
      <c r="J3747" s="28">
        <v>2</v>
      </c>
      <c r="K3747" s="28">
        <v>1.1000000000000001</v>
      </c>
      <c r="L3747" s="649">
        <f>PRODUCT(C3747:K3747)</f>
        <v>396.00000000000006</v>
      </c>
    </row>
    <row r="3748" spans="2:12" ht="15">
      <c r="B3748" s="650"/>
      <c r="C3748" s="19" t="s">
        <v>521</v>
      </c>
      <c r="D3748" s="19">
        <v>0.4</v>
      </c>
      <c r="E3748" s="39">
        <v>1.2</v>
      </c>
      <c r="F3748" s="72">
        <v>35</v>
      </c>
      <c r="G3748" s="20"/>
      <c r="H3748" s="21"/>
      <c r="I3748" s="17"/>
      <c r="J3748" s="28"/>
      <c r="K3748" s="28">
        <v>1.1000000000000001</v>
      </c>
      <c r="L3748" s="649">
        <f t="shared" ref="L3748:L3752" si="267">PRODUCT(C3748:K3748)</f>
        <v>18.480000000000004</v>
      </c>
    </row>
    <row r="3749" spans="2:12" ht="15">
      <c r="B3749" s="650"/>
      <c r="C3749" s="19" t="s">
        <v>522</v>
      </c>
      <c r="D3749" s="19">
        <v>0.6</v>
      </c>
      <c r="E3749" s="39">
        <v>1.2</v>
      </c>
      <c r="F3749" s="19">
        <v>12</v>
      </c>
      <c r="G3749" s="20"/>
      <c r="H3749" s="21"/>
      <c r="I3749" s="17"/>
      <c r="J3749" s="28"/>
      <c r="K3749" s="28">
        <v>1.1000000000000001</v>
      </c>
      <c r="L3749" s="649">
        <f>PRODUCT(C3749:K3749)</f>
        <v>9.5040000000000013</v>
      </c>
    </row>
    <row r="3750" spans="2:12" ht="15">
      <c r="B3750" s="650"/>
      <c r="C3750" s="20"/>
      <c r="D3750" s="19"/>
      <c r="E3750" s="39"/>
      <c r="F3750" s="19"/>
      <c r="G3750" s="20"/>
      <c r="H3750" s="20"/>
      <c r="I3750" s="17"/>
      <c r="J3750" s="402">
        <v>2</v>
      </c>
      <c r="K3750" s="28">
        <v>1.1000000000000001</v>
      </c>
      <c r="L3750" s="649"/>
    </row>
    <row r="3751" spans="2:12" ht="15">
      <c r="B3751" s="650" t="s">
        <v>462</v>
      </c>
      <c r="C3751" s="19" t="s">
        <v>520</v>
      </c>
      <c r="D3751" s="19">
        <v>0.9</v>
      </c>
      <c r="E3751" s="39">
        <v>1</v>
      </c>
      <c r="F3751" s="72">
        <v>170</v>
      </c>
      <c r="G3751" s="20"/>
      <c r="H3751" s="20"/>
      <c r="I3751" s="17"/>
      <c r="K3751" s="28">
        <v>1.1000000000000001</v>
      </c>
      <c r="L3751" s="649">
        <f t="shared" si="267"/>
        <v>168.3</v>
      </c>
    </row>
    <row r="3752" spans="2:12" ht="15">
      <c r="B3752" s="655"/>
      <c r="C3752" s="19" t="s">
        <v>521</v>
      </c>
      <c r="D3752" s="20">
        <v>0.4</v>
      </c>
      <c r="E3752" s="20">
        <v>1.2</v>
      </c>
      <c r="F3752" s="169">
        <v>33</v>
      </c>
      <c r="G3752" s="20"/>
      <c r="H3752" s="19"/>
      <c r="I3752" s="17"/>
      <c r="J3752" s="19"/>
      <c r="K3752" s="28">
        <v>1.1000000000000001</v>
      </c>
      <c r="L3752" s="649">
        <f t="shared" si="267"/>
        <v>17.423999999999999</v>
      </c>
    </row>
    <row r="3753" spans="2:12" ht="31.15" customHeight="1">
      <c r="B3753" s="650"/>
      <c r="C3753" s="19" t="s">
        <v>522</v>
      </c>
      <c r="D3753" s="20">
        <v>0.6</v>
      </c>
      <c r="E3753" s="20">
        <v>1.2</v>
      </c>
      <c r="F3753" s="20">
        <v>18</v>
      </c>
      <c r="G3753" s="20"/>
      <c r="H3753" s="19"/>
      <c r="I3753" s="17"/>
      <c r="J3753" s="19"/>
      <c r="K3753" s="28">
        <v>1.1000000000000001</v>
      </c>
      <c r="L3753" s="649">
        <f>PRODUCT(C3753:K3753)</f>
        <v>14.256</v>
      </c>
    </row>
    <row r="3754" spans="2:12" ht="15">
      <c r="B3754" s="650"/>
      <c r="C3754" s="19"/>
      <c r="D3754" s="20"/>
      <c r="E3754" s="20"/>
      <c r="F3754" s="20"/>
      <c r="G3754" s="20"/>
      <c r="H3754" s="19"/>
      <c r="I3754" s="17"/>
      <c r="J3754" s="19"/>
      <c r="K3754" s="28"/>
      <c r="L3754" s="649"/>
    </row>
    <row r="3755" spans="2:12" ht="30">
      <c r="B3755" s="650" t="s">
        <v>1055</v>
      </c>
      <c r="C3755" s="19">
        <v>1</v>
      </c>
      <c r="D3755" s="20">
        <v>0.6</v>
      </c>
      <c r="E3755" s="20"/>
      <c r="F3755" s="20">
        <v>510</v>
      </c>
      <c r="G3755" s="20"/>
      <c r="H3755" s="19"/>
      <c r="I3755" s="17"/>
      <c r="J3755" s="19"/>
      <c r="K3755" s="28">
        <v>1.1000000000000001</v>
      </c>
      <c r="L3755" s="649">
        <f>PRODUCT(C3755:K3755)</f>
        <v>336.6</v>
      </c>
    </row>
    <row r="3756" spans="2:12" ht="15">
      <c r="B3756" s="650"/>
      <c r="C3756" s="19"/>
      <c r="D3756" s="20"/>
      <c r="E3756" s="20"/>
      <c r="F3756" s="20"/>
      <c r="G3756" s="20"/>
      <c r="H3756" s="19"/>
      <c r="I3756" s="17"/>
      <c r="J3756" s="19"/>
      <c r="K3756" s="28"/>
      <c r="L3756" s="649"/>
    </row>
    <row r="3757" spans="2:12" ht="15">
      <c r="B3757" s="650"/>
      <c r="C3757" s="19"/>
      <c r="D3757" s="20"/>
      <c r="E3757" s="20"/>
      <c r="F3757" s="20"/>
      <c r="G3757" s="20"/>
      <c r="H3757" s="19"/>
      <c r="I3757" s="17"/>
      <c r="J3757" s="19"/>
      <c r="K3757" s="28"/>
      <c r="L3757" s="649"/>
    </row>
    <row r="3758" spans="2:12" ht="15">
      <c r="B3758" s="650"/>
      <c r="C3758" s="19"/>
      <c r="D3758" s="20"/>
      <c r="E3758" s="20"/>
      <c r="F3758" s="20"/>
      <c r="G3758" s="20"/>
      <c r="H3758" s="19"/>
      <c r="I3758" s="17"/>
      <c r="J3758" s="19"/>
      <c r="K3758" s="28"/>
      <c r="L3758" s="649"/>
    </row>
    <row r="3759" spans="2:12" ht="15">
      <c r="B3759" s="650"/>
      <c r="C3759" s="19"/>
      <c r="D3759" s="20"/>
      <c r="E3759" s="20"/>
      <c r="F3759" s="20"/>
      <c r="G3759" s="20"/>
      <c r="H3759" s="19"/>
      <c r="I3759" s="17"/>
      <c r="J3759" s="19"/>
      <c r="K3759" s="28"/>
      <c r="L3759" s="649"/>
    </row>
    <row r="3760" spans="2:12" ht="15.75">
      <c r="B3760" s="981" t="s">
        <v>414</v>
      </c>
      <c r="C3760" s="982"/>
      <c r="D3760" s="982"/>
      <c r="E3760" s="982"/>
      <c r="F3760" s="982"/>
      <c r="G3760" s="982"/>
      <c r="H3760" s="982"/>
      <c r="I3760" s="982"/>
      <c r="J3760" s="982"/>
      <c r="K3760" s="982"/>
      <c r="L3760" s="983"/>
    </row>
    <row r="3761" spans="2:12" ht="15.75">
      <c r="B3761" s="756"/>
      <c r="C3761" s="757"/>
      <c r="D3761" s="757"/>
      <c r="E3761" s="757"/>
      <c r="F3761" s="757"/>
      <c r="G3761" s="757"/>
      <c r="H3761" s="757"/>
      <c r="I3761" s="757"/>
      <c r="J3761" s="757"/>
      <c r="K3761" s="757"/>
      <c r="L3761" s="758"/>
    </row>
    <row r="3762" spans="2:12" ht="15.75">
      <c r="B3762" s="756"/>
      <c r="C3762" s="757"/>
      <c r="D3762" s="757"/>
      <c r="E3762" s="757"/>
      <c r="F3762" s="757"/>
      <c r="G3762" s="757"/>
      <c r="H3762" s="757"/>
      <c r="I3762" s="757"/>
      <c r="J3762" s="757"/>
      <c r="K3762" s="757"/>
      <c r="L3762" s="758"/>
    </row>
    <row r="3763" spans="2:12" ht="15.75">
      <c r="B3763" s="828" t="s">
        <v>398</v>
      </c>
      <c r="C3763" s="261">
        <v>4</v>
      </c>
      <c r="D3763" s="1025" t="s">
        <v>917</v>
      </c>
      <c r="E3763" s="1026"/>
      <c r="F3763" s="1026"/>
      <c r="G3763" s="1026"/>
      <c r="H3763" s="1026"/>
      <c r="I3763" s="1026"/>
      <c r="J3763" s="1027"/>
      <c r="K3763" s="274"/>
      <c r="L3763" s="829"/>
    </row>
    <row r="3764" spans="2:12" ht="15">
      <c r="B3764" s="1028"/>
      <c r="C3764" s="1029"/>
      <c r="D3764" s="1029"/>
      <c r="E3764" s="1029"/>
      <c r="F3764" s="1029"/>
      <c r="G3764" s="1029"/>
      <c r="H3764" s="1029"/>
      <c r="I3764" s="1029"/>
      <c r="J3764" s="1029"/>
      <c r="K3764" s="1029"/>
      <c r="L3764" s="1030"/>
    </row>
    <row r="3765" spans="2:12" ht="31.5">
      <c r="B3765" s="830" t="s">
        <v>399</v>
      </c>
      <c r="C3765" s="273">
        <v>4.3</v>
      </c>
      <c r="D3765" s="263" t="str">
        <f>'PROPUESTA ECONOMICA(Proponente)'!G411</f>
        <v>Conformación de subrasante por compactación simple.</v>
      </c>
      <c r="E3765" s="264"/>
      <c r="F3765" s="263"/>
      <c r="G3765" s="263"/>
      <c r="H3765" s="263"/>
      <c r="I3765" s="262" t="s">
        <v>400</v>
      </c>
      <c r="J3765" s="263" t="s">
        <v>21</v>
      </c>
      <c r="K3765" s="262" t="s">
        <v>401</v>
      </c>
      <c r="L3765" s="831">
        <f>SUM(L3768:L3772)</f>
        <v>6768.4100000000017</v>
      </c>
    </row>
    <row r="3766" spans="2:12" ht="15">
      <c r="B3766" s="832"/>
      <c r="C3766" s="266"/>
      <c r="D3766" s="265"/>
      <c r="E3766" s="265"/>
      <c r="F3766" s="265"/>
      <c r="G3766" s="265"/>
      <c r="H3766" s="265"/>
      <c r="I3766" s="265"/>
      <c r="J3766" s="265"/>
      <c r="K3766" s="267"/>
      <c r="L3766" s="833"/>
    </row>
    <row r="3767" spans="2:12" ht="47.25">
      <c r="B3767" s="834" t="s">
        <v>402</v>
      </c>
      <c r="C3767" s="268" t="s">
        <v>403</v>
      </c>
      <c r="D3767" s="268" t="s">
        <v>404</v>
      </c>
      <c r="E3767" s="268" t="s">
        <v>405</v>
      </c>
      <c r="F3767" s="268" t="s">
        <v>406</v>
      </c>
      <c r="G3767" s="268" t="s">
        <v>407</v>
      </c>
      <c r="H3767" s="260" t="s">
        <v>408</v>
      </c>
      <c r="I3767" s="268" t="s">
        <v>409</v>
      </c>
      <c r="J3767" s="260" t="s">
        <v>410</v>
      </c>
      <c r="K3767" s="260" t="s">
        <v>411</v>
      </c>
      <c r="L3767" s="748" t="s">
        <v>412</v>
      </c>
    </row>
    <row r="3768" spans="2:12" ht="15">
      <c r="B3768" s="835"/>
      <c r="C3768" s="269"/>
      <c r="D3768" s="19">
        <v>44.2</v>
      </c>
      <c r="E3768" s="19"/>
      <c r="F3768" s="19">
        <v>75.5</v>
      </c>
      <c r="G3768" s="20"/>
      <c r="H3768" s="21"/>
      <c r="I3768" s="17">
        <v>1.1000000000000001</v>
      </c>
      <c r="J3768" s="28"/>
      <c r="K3768" s="17"/>
      <c r="L3768" s="649">
        <f>PRODUCT(C3768:K3768)</f>
        <v>3670.8100000000009</v>
      </c>
    </row>
    <row r="3769" spans="2:12" ht="15">
      <c r="B3769" s="835"/>
      <c r="C3769" s="270"/>
      <c r="D3769" s="19">
        <v>44</v>
      </c>
      <c r="E3769" s="19"/>
      <c r="F3769" s="19">
        <v>64</v>
      </c>
      <c r="G3769" s="20"/>
      <c r="H3769" s="20"/>
      <c r="I3769" s="17">
        <v>1.1000000000000001</v>
      </c>
      <c r="J3769" s="19"/>
      <c r="K3769" s="17"/>
      <c r="L3769" s="649">
        <f t="shared" ref="L3769" si="268">PRODUCT(C3769:K3769)</f>
        <v>3097.6000000000004</v>
      </c>
    </row>
    <row r="3770" spans="2:12" ht="15">
      <c r="B3770" s="836"/>
      <c r="C3770" s="270"/>
      <c r="D3770" s="270"/>
      <c r="E3770" s="270"/>
      <c r="F3770" s="270"/>
      <c r="G3770" s="270"/>
      <c r="H3770" s="270"/>
      <c r="I3770" s="270"/>
      <c r="J3770" s="272"/>
      <c r="K3770" s="267"/>
      <c r="L3770" s="656"/>
    </row>
    <row r="3771" spans="2:12" ht="15">
      <c r="B3771" s="836"/>
      <c r="C3771" s="270"/>
      <c r="D3771" s="270"/>
      <c r="E3771" s="270"/>
      <c r="F3771" s="270"/>
      <c r="G3771" s="270"/>
      <c r="H3771" s="269"/>
      <c r="I3771" s="270"/>
      <c r="J3771" s="272"/>
      <c r="K3771" s="267"/>
      <c r="L3771" s="656"/>
    </row>
    <row r="3772" spans="2:12" ht="15">
      <c r="B3772" s="836"/>
      <c r="C3772" s="270"/>
      <c r="D3772" s="270"/>
      <c r="E3772" s="270"/>
      <c r="F3772" s="270"/>
      <c r="G3772" s="270"/>
      <c r="H3772" s="269"/>
      <c r="I3772" s="270"/>
      <c r="J3772" s="272"/>
      <c r="K3772" s="267"/>
      <c r="L3772" s="833"/>
    </row>
    <row r="3773" spans="2:12" ht="15.75">
      <c r="B3773" s="756"/>
      <c r="C3773" s="757"/>
      <c r="D3773" s="757"/>
      <c r="E3773" s="757"/>
      <c r="F3773" s="757"/>
      <c r="G3773" s="757"/>
      <c r="H3773" s="757"/>
      <c r="I3773" s="757"/>
      <c r="J3773" s="757"/>
      <c r="K3773" s="757"/>
      <c r="L3773" s="758"/>
    </row>
    <row r="3774" spans="2:12" ht="15.6" customHeight="1">
      <c r="B3774" s="638" t="s">
        <v>398</v>
      </c>
      <c r="C3774" s="8">
        <v>4</v>
      </c>
      <c r="D3774" s="1008" t="s">
        <v>917</v>
      </c>
      <c r="E3774" s="1009"/>
      <c r="F3774" s="1009"/>
      <c r="G3774" s="1009"/>
      <c r="H3774" s="1009"/>
      <c r="I3774" s="1009"/>
      <c r="J3774" s="1009"/>
      <c r="K3774" s="1009"/>
      <c r="L3774" s="1010"/>
    </row>
    <row r="3775" spans="2:12" ht="15">
      <c r="B3775" s="1005"/>
      <c r="C3775" s="1006"/>
      <c r="D3775" s="1006"/>
      <c r="E3775" s="1006"/>
      <c r="F3775" s="1006"/>
      <c r="G3775" s="1006"/>
      <c r="H3775" s="1006"/>
      <c r="I3775" s="1006"/>
      <c r="J3775" s="1006"/>
      <c r="K3775" s="1006"/>
      <c r="L3775" s="1007"/>
    </row>
    <row r="3776" spans="2:12" ht="78.75">
      <c r="B3776" s="642" t="s">
        <v>399</v>
      </c>
      <c r="C3776" s="25">
        <f>+'PROPUESTA ECONOMICA(Proponente)'!C412</f>
        <v>4.4000000000000004</v>
      </c>
      <c r="D3776" s="12" t="str">
        <f>+VLOOKUP('MEMORIAS DE CANTIDADES'!C3776,'PROPUESTA ECONOMICA(Proponente)'!$C$379:$H$661,5,FALSE)</f>
        <v>Material de mejoramiento según estudio de suelo e=0.30 m, compactado al 95% del próctor estándar y conformación de la superficie de drenaje con pendientes de 0,5% en dirección a filtros. (Incluye suministro e instalación).</v>
      </c>
      <c r="E3776" s="13"/>
      <c r="F3776" s="12"/>
      <c r="G3776" s="12"/>
      <c r="H3776" s="12"/>
      <c r="I3776" s="11" t="s">
        <v>400</v>
      </c>
      <c r="J3776" s="12" t="str">
        <f>+VLOOKUP('MEMORIAS DE CANTIDADES'!C3776,'PROPUESTA ECONOMICA(Proponente)'!$C$379:$H$661,6,FALSE)</f>
        <v>m3</v>
      </c>
      <c r="K3776" s="11" t="s">
        <v>401</v>
      </c>
      <c r="L3776" s="783">
        <f>SUM(L3777:L3784)</f>
        <v>3451.525000000001</v>
      </c>
    </row>
    <row r="3777" spans="2:12" ht="15">
      <c r="B3777" s="644"/>
      <c r="C3777" s="16"/>
      <c r="D3777" s="15"/>
      <c r="E3777" s="15"/>
      <c r="F3777" s="15"/>
      <c r="G3777" s="15"/>
      <c r="H3777" s="15"/>
      <c r="I3777" s="15"/>
      <c r="J3777" s="15"/>
      <c r="K3777" s="17"/>
      <c r="L3777" s="645"/>
    </row>
    <row r="3778" spans="2:12" ht="47.25">
      <c r="B3778" s="646" t="s">
        <v>402</v>
      </c>
      <c r="C3778" s="18" t="s">
        <v>403</v>
      </c>
      <c r="D3778" s="18" t="s">
        <v>404</v>
      </c>
      <c r="E3778" s="18" t="s">
        <v>405</v>
      </c>
      <c r="F3778" s="18" t="s">
        <v>406</v>
      </c>
      <c r="G3778" s="18" t="s">
        <v>407</v>
      </c>
      <c r="H3778" s="5" t="s">
        <v>408</v>
      </c>
      <c r="I3778" s="18" t="s">
        <v>409</v>
      </c>
      <c r="J3778" s="5" t="s">
        <v>410</v>
      </c>
      <c r="K3778" s="5" t="s">
        <v>411</v>
      </c>
      <c r="L3778" s="647" t="s">
        <v>412</v>
      </c>
    </row>
    <row r="3779" spans="2:12" ht="15">
      <c r="B3779" s="648" t="s">
        <v>461</v>
      </c>
      <c r="C3779" s="19"/>
      <c r="D3779" s="19">
        <v>44.2</v>
      </c>
      <c r="E3779" s="72">
        <v>0.5</v>
      </c>
      <c r="F3779" s="19">
        <v>75.5</v>
      </c>
      <c r="G3779" s="20"/>
      <c r="H3779" s="21"/>
      <c r="I3779" s="17"/>
      <c r="J3779" s="366">
        <v>1.1000000000000001</v>
      </c>
      <c r="K3779" s="17"/>
      <c r="L3779" s="649">
        <f>PRODUCT(C3779:K3779)</f>
        <v>1835.4050000000004</v>
      </c>
    </row>
    <row r="3780" spans="2:12" ht="15">
      <c r="B3780" s="648" t="s">
        <v>462</v>
      </c>
      <c r="C3780" s="20"/>
      <c r="D3780" s="19">
        <v>44</v>
      </c>
      <c r="E3780" s="72">
        <v>0.5</v>
      </c>
      <c r="F3780" s="19">
        <v>64</v>
      </c>
      <c r="G3780" s="20"/>
      <c r="H3780" s="20"/>
      <c r="I3780" s="20"/>
      <c r="J3780" s="171">
        <v>1.1000000000000001</v>
      </c>
      <c r="K3780" s="17"/>
      <c r="L3780" s="649">
        <f>PRODUCT(C3780:K3780)</f>
        <v>1548.8000000000002</v>
      </c>
    </row>
    <row r="3781" spans="2:12" ht="15">
      <c r="B3781" s="650"/>
      <c r="C3781" s="20"/>
      <c r="D3781" s="20"/>
      <c r="E3781" s="20"/>
      <c r="F3781" s="20"/>
      <c r="G3781" s="20"/>
      <c r="H3781" s="20"/>
      <c r="I3781" s="20"/>
      <c r="J3781" s="19"/>
      <c r="K3781" s="17"/>
      <c r="L3781" s="649"/>
    </row>
    <row r="3782" spans="2:12" ht="30">
      <c r="B3782" s="650" t="s">
        <v>1055</v>
      </c>
      <c r="C3782" s="19"/>
      <c r="D3782" s="20">
        <v>0.2</v>
      </c>
      <c r="E3782" s="20">
        <v>0.6</v>
      </c>
      <c r="F3782" s="20">
        <v>510</v>
      </c>
      <c r="G3782" s="20"/>
      <c r="H3782" s="19"/>
      <c r="I3782" s="17"/>
      <c r="J3782" s="19"/>
      <c r="K3782" s="28">
        <v>1.1000000000000001</v>
      </c>
      <c r="L3782" s="649">
        <f>PRODUCT(C3782:K3782)</f>
        <v>67.320000000000007</v>
      </c>
    </row>
    <row r="3783" spans="2:12" ht="15">
      <c r="B3783" s="650"/>
      <c r="C3783" s="20"/>
      <c r="D3783" s="20"/>
      <c r="E3783" s="20"/>
      <c r="F3783" s="20"/>
      <c r="G3783" s="20"/>
      <c r="H3783" s="19"/>
      <c r="I3783" s="20"/>
      <c r="J3783" s="19"/>
      <c r="K3783" s="17"/>
      <c r="L3783" s="645"/>
    </row>
    <row r="3784" spans="2:12" ht="15.75">
      <c r="B3784" s="981" t="s">
        <v>414</v>
      </c>
      <c r="C3784" s="982"/>
      <c r="D3784" s="982"/>
      <c r="E3784" s="982"/>
      <c r="F3784" s="982"/>
      <c r="G3784" s="982"/>
      <c r="H3784" s="982"/>
      <c r="I3784" s="982"/>
      <c r="J3784" s="982"/>
      <c r="K3784" s="982"/>
      <c r="L3784" s="983"/>
    </row>
    <row r="3785" spans="2:12" ht="15.75">
      <c r="B3785" s="756"/>
      <c r="C3785" s="757"/>
      <c r="D3785" s="757"/>
      <c r="E3785" s="757"/>
      <c r="F3785" s="757"/>
      <c r="G3785" s="757"/>
      <c r="H3785" s="757"/>
      <c r="I3785" s="757"/>
      <c r="J3785" s="757"/>
      <c r="K3785" s="757"/>
      <c r="L3785" s="758"/>
    </row>
    <row r="3786" spans="2:12" ht="15.6" customHeight="1">
      <c r="B3786" s="638" t="s">
        <v>398</v>
      </c>
      <c r="C3786" s="8">
        <v>4.5</v>
      </c>
      <c r="D3786" s="1008" t="s">
        <v>917</v>
      </c>
      <c r="E3786" s="1009"/>
      <c r="F3786" s="1009"/>
      <c r="G3786" s="1009"/>
      <c r="H3786" s="1009"/>
      <c r="I3786" s="1009"/>
      <c r="J3786" s="1009"/>
      <c r="K3786" s="1009"/>
      <c r="L3786" s="1010"/>
    </row>
    <row r="3787" spans="2:12" ht="15">
      <c r="B3787" s="1005"/>
      <c r="C3787" s="1006"/>
      <c r="D3787" s="1006"/>
      <c r="E3787" s="1006"/>
      <c r="F3787" s="1006"/>
      <c r="G3787" s="1006"/>
      <c r="H3787" s="1006"/>
      <c r="I3787" s="1006"/>
      <c r="J3787" s="1006"/>
      <c r="K3787" s="1006"/>
      <c r="L3787" s="1007"/>
    </row>
    <row r="3788" spans="2:12" ht="15.75">
      <c r="B3788" s="642" t="s">
        <v>399</v>
      </c>
      <c r="C3788" s="25">
        <f>+'PROPUESTA ECONOMICA(Proponente)'!C413</f>
        <v>4.5</v>
      </c>
      <c r="D3788" s="1015" t="s">
        <v>61</v>
      </c>
      <c r="E3788" s="1016"/>
      <c r="F3788" s="1016"/>
      <c r="G3788" s="1017"/>
      <c r="H3788" s="11"/>
      <c r="I3788" s="11" t="s">
        <v>400</v>
      </c>
      <c r="J3788" s="14" t="s">
        <v>21</v>
      </c>
      <c r="K3788" s="11" t="s">
        <v>401</v>
      </c>
      <c r="L3788" s="837">
        <f>SUM(L3789:L3796)</f>
        <v>7513.4790000000012</v>
      </c>
    </row>
    <row r="3789" spans="2:12" ht="15">
      <c r="B3789" s="644"/>
      <c r="C3789" s="16"/>
      <c r="D3789" s="15"/>
      <c r="E3789" s="15"/>
      <c r="F3789" s="15"/>
      <c r="G3789" s="15"/>
      <c r="H3789" s="15"/>
      <c r="I3789" s="15"/>
      <c r="J3789" s="15"/>
      <c r="K3789" s="17"/>
      <c r="L3789" s="645"/>
    </row>
    <row r="3790" spans="2:12" ht="47.25">
      <c r="B3790" s="646" t="s">
        <v>402</v>
      </c>
      <c r="C3790" s="18" t="s">
        <v>403</v>
      </c>
      <c r="D3790" s="18" t="s">
        <v>404</v>
      </c>
      <c r="E3790" s="18" t="s">
        <v>405</v>
      </c>
      <c r="F3790" s="18" t="s">
        <v>406</v>
      </c>
      <c r="G3790" s="18" t="s">
        <v>407</v>
      </c>
      <c r="H3790" s="5" t="s">
        <v>408</v>
      </c>
      <c r="I3790" s="18" t="s">
        <v>409</v>
      </c>
      <c r="J3790" s="5" t="s">
        <v>410</v>
      </c>
      <c r="K3790" s="5" t="s">
        <v>411</v>
      </c>
      <c r="L3790" s="647" t="s">
        <v>412</v>
      </c>
    </row>
    <row r="3791" spans="2:12" ht="15">
      <c r="B3791" s="648" t="s">
        <v>461</v>
      </c>
      <c r="C3791" s="19"/>
      <c r="D3791" s="19">
        <v>44.2</v>
      </c>
      <c r="E3791" s="19"/>
      <c r="F3791" s="19">
        <v>75.5</v>
      </c>
      <c r="G3791" s="20"/>
      <c r="H3791" s="68"/>
      <c r="I3791" s="17">
        <v>1.0900000000000001</v>
      </c>
      <c r="J3791" s="28"/>
      <c r="K3791" s="17"/>
      <c r="L3791" s="649">
        <f>PRODUCT(C3791:K3791)</f>
        <v>3637.4390000000008</v>
      </c>
    </row>
    <row r="3792" spans="2:12" ht="15">
      <c r="B3792" s="648" t="s">
        <v>462</v>
      </c>
      <c r="C3792" s="20"/>
      <c r="D3792" s="19">
        <v>44</v>
      </c>
      <c r="E3792" s="19"/>
      <c r="F3792" s="19">
        <v>64</v>
      </c>
      <c r="G3792" s="20"/>
      <c r="H3792" s="68"/>
      <c r="I3792" s="17">
        <v>1.0900000000000001</v>
      </c>
      <c r="J3792" s="19"/>
      <c r="K3792" s="17"/>
      <c r="L3792" s="649">
        <f t="shared" ref="L3792:L3794" si="269">PRODUCT(C3792:K3792)</f>
        <v>3069.44</v>
      </c>
    </row>
    <row r="3793" spans="2:13" ht="15">
      <c r="B3793" s="650" t="s">
        <v>947</v>
      </c>
      <c r="C3793" s="20"/>
      <c r="D3793" s="20"/>
      <c r="E3793" s="20">
        <v>1</v>
      </c>
      <c r="F3793" s="20">
        <v>200</v>
      </c>
      <c r="G3793" s="20"/>
      <c r="H3793" s="20">
        <v>2</v>
      </c>
      <c r="I3793" s="17">
        <v>1.0900000000000001</v>
      </c>
      <c r="J3793" s="19"/>
      <c r="K3793" s="17"/>
      <c r="L3793" s="649">
        <f t="shared" si="269"/>
        <v>436.00000000000006</v>
      </c>
    </row>
    <row r="3794" spans="2:13" ht="15">
      <c r="B3794" s="650" t="s">
        <v>948</v>
      </c>
      <c r="C3794" s="20"/>
      <c r="D3794" s="20"/>
      <c r="E3794" s="20">
        <v>1</v>
      </c>
      <c r="F3794" s="20">
        <v>170</v>
      </c>
      <c r="G3794" s="20"/>
      <c r="H3794" s="19">
        <v>2</v>
      </c>
      <c r="I3794" s="17">
        <v>1.0900000000000001</v>
      </c>
      <c r="J3794" s="19"/>
      <c r="K3794" s="17"/>
      <c r="L3794" s="649">
        <f t="shared" si="269"/>
        <v>370.6</v>
      </c>
    </row>
    <row r="3795" spans="2:13" ht="15">
      <c r="B3795" s="650"/>
      <c r="C3795" s="20"/>
      <c r="D3795" s="20"/>
      <c r="E3795" s="20"/>
      <c r="F3795" s="20"/>
      <c r="G3795" s="20"/>
      <c r="H3795" s="19"/>
      <c r="I3795" s="20"/>
      <c r="J3795" s="19"/>
      <c r="K3795" s="17"/>
      <c r="L3795" s="645"/>
    </row>
    <row r="3796" spans="2:13" ht="15.75">
      <c r="B3796" s="981" t="s">
        <v>414</v>
      </c>
      <c r="C3796" s="982"/>
      <c r="D3796" s="982"/>
      <c r="E3796" s="982"/>
      <c r="F3796" s="982"/>
      <c r="G3796" s="982"/>
      <c r="H3796" s="982"/>
      <c r="I3796" s="982"/>
      <c r="J3796" s="982"/>
      <c r="K3796" s="982"/>
      <c r="L3796" s="983"/>
      <c r="M3796" s="139"/>
    </row>
    <row r="3797" spans="2:13">
      <c r="B3797" s="651"/>
      <c r="L3797" s="652"/>
    </row>
    <row r="3798" spans="2:13">
      <c r="B3798" s="651"/>
      <c r="L3798" s="652"/>
    </row>
    <row r="3799" spans="2:13" ht="15.6" customHeight="1">
      <c r="B3799" s="638" t="s">
        <v>398</v>
      </c>
      <c r="C3799" s="8">
        <v>4.5</v>
      </c>
      <c r="D3799" s="1008" t="s">
        <v>917</v>
      </c>
      <c r="E3799" s="1009"/>
      <c r="F3799" s="1009"/>
      <c r="G3799" s="1009"/>
      <c r="H3799" s="1009"/>
      <c r="I3799" s="1009"/>
      <c r="J3799" s="1009"/>
      <c r="K3799" s="1009"/>
      <c r="L3799" s="1010"/>
    </row>
    <row r="3800" spans="2:13" ht="15">
      <c r="B3800" s="1005"/>
      <c r="C3800" s="1006"/>
      <c r="D3800" s="1006"/>
      <c r="E3800" s="1006"/>
      <c r="F3800" s="1006"/>
      <c r="G3800" s="1006"/>
      <c r="H3800" s="1006"/>
      <c r="I3800" s="1006"/>
      <c r="J3800" s="1006"/>
      <c r="K3800" s="1006"/>
      <c r="L3800" s="1007"/>
    </row>
    <row r="3801" spans="2:13" ht="31.5">
      <c r="B3801" s="642" t="s">
        <v>399</v>
      </c>
      <c r="C3801" s="25">
        <f>+'PROPUESTA ECONOMICA(Proponente)'!C414</f>
        <v>4.5999999999999996</v>
      </c>
      <c r="D3801" s="12" t="str">
        <f>+VLOOKUP('MEMORIAS DE CANTIDADES'!C3801,'PROPUESTA ECONOMICA(Proponente)'!$C$379:$H$661,5,FALSE)</f>
        <v>Relleno triturado 1/2" - 1" filtrante 20 cm espesor, (Incluye suministro e instalación).</v>
      </c>
      <c r="E3801" s="13"/>
      <c r="F3801" s="12"/>
      <c r="G3801" s="12"/>
      <c r="H3801" s="12"/>
      <c r="I3801" s="11" t="s">
        <v>400</v>
      </c>
      <c r="J3801" s="12" t="str">
        <f>+VLOOKUP('MEMORIAS DE CANTIDADES'!C3801,'PROPUESTA ECONOMICA(Proponente)'!$C$379:$H$661,6,FALSE)</f>
        <v>m3</v>
      </c>
      <c r="K3801" s="11" t="s">
        <v>401</v>
      </c>
      <c r="L3801" s="837">
        <f>SUM(L3802:L3817)</f>
        <v>2396.8230000000008</v>
      </c>
    </row>
    <row r="3802" spans="2:13" ht="15">
      <c r="B3802" s="644"/>
      <c r="C3802" s="16"/>
      <c r="D3802" s="15"/>
      <c r="E3802" s="15"/>
      <c r="F3802" s="15"/>
      <c r="G3802" s="15"/>
      <c r="H3802" s="15"/>
      <c r="I3802" s="15"/>
      <c r="J3802" s="15"/>
      <c r="K3802" s="17"/>
      <c r="L3802" s="645"/>
    </row>
    <row r="3803" spans="2:13" ht="47.25">
      <c r="B3803" s="646" t="s">
        <v>402</v>
      </c>
      <c r="C3803" s="18" t="s">
        <v>403</v>
      </c>
      <c r="D3803" s="18" t="s">
        <v>404</v>
      </c>
      <c r="E3803" s="18" t="s">
        <v>405</v>
      </c>
      <c r="F3803" s="18" t="s">
        <v>406</v>
      </c>
      <c r="G3803" s="18" t="s">
        <v>407</v>
      </c>
      <c r="H3803" s="5" t="s">
        <v>408</v>
      </c>
      <c r="I3803" s="18" t="s">
        <v>409</v>
      </c>
      <c r="J3803" s="5" t="s">
        <v>410</v>
      </c>
      <c r="K3803" s="5" t="s">
        <v>411</v>
      </c>
      <c r="L3803" s="647" t="s">
        <v>412</v>
      </c>
    </row>
    <row r="3804" spans="2:13" ht="15">
      <c r="B3804" s="648" t="s">
        <v>461</v>
      </c>
      <c r="C3804" s="19"/>
      <c r="D3804" s="19">
        <v>44.2</v>
      </c>
      <c r="E3804" s="180">
        <v>0.25</v>
      </c>
      <c r="F3804" s="19">
        <v>75.5</v>
      </c>
      <c r="G3804" s="20"/>
      <c r="H3804" s="68"/>
      <c r="I3804" s="17"/>
      <c r="J3804" s="28">
        <v>1.1000000000000001</v>
      </c>
      <c r="K3804" s="17"/>
      <c r="L3804" s="649">
        <f>PRODUCT(C3804:K3804)</f>
        <v>917.70250000000021</v>
      </c>
    </row>
    <row r="3805" spans="2:13" ht="15">
      <c r="B3805" s="648" t="s">
        <v>462</v>
      </c>
      <c r="C3805" s="20"/>
      <c r="D3805" s="19">
        <v>44</v>
      </c>
      <c r="E3805" s="180">
        <v>0.25</v>
      </c>
      <c r="F3805" s="19">
        <v>64</v>
      </c>
      <c r="G3805" s="20"/>
      <c r="H3805" s="68"/>
      <c r="I3805" s="17"/>
      <c r="J3805" s="28">
        <v>1.1000000000000001</v>
      </c>
      <c r="K3805" s="17"/>
      <c r="L3805" s="649">
        <f>PRODUCT(C3805:K3805)</f>
        <v>774.40000000000009</v>
      </c>
    </row>
    <row r="3806" spans="2:13" ht="15">
      <c r="B3806" s="650"/>
      <c r="C3806" s="20"/>
      <c r="D3806" s="20"/>
      <c r="E3806" s="20"/>
      <c r="F3806" s="20"/>
      <c r="G3806" s="20"/>
      <c r="H3806" s="20"/>
      <c r="I3806" s="20"/>
      <c r="J3806" s="19"/>
      <c r="K3806" s="17"/>
      <c r="L3806" s="649"/>
    </row>
    <row r="3807" spans="2:13" ht="15" customHeight="1">
      <c r="B3807" s="648" t="s">
        <v>875</v>
      </c>
      <c r="C3807" s="19"/>
      <c r="D3807" s="19">
        <v>44.2</v>
      </c>
      <c r="E3807" s="180">
        <v>0.05</v>
      </c>
      <c r="F3807" s="19">
        <v>75.5</v>
      </c>
      <c r="G3807" s="20"/>
      <c r="H3807" s="68"/>
      <c r="I3807" s="17"/>
      <c r="J3807" s="28">
        <v>1.1000000000000001</v>
      </c>
      <c r="K3807" s="17"/>
      <c r="L3807" s="649">
        <f>PRODUCT(C3807:K3807)</f>
        <v>183.54050000000004</v>
      </c>
    </row>
    <row r="3808" spans="2:13" ht="15">
      <c r="B3808" s="648" t="s">
        <v>876</v>
      </c>
      <c r="C3808" s="20"/>
      <c r="D3808" s="19">
        <v>44</v>
      </c>
      <c r="E3808" s="180">
        <v>0.05</v>
      </c>
      <c r="F3808" s="19">
        <v>64</v>
      </c>
      <c r="G3808" s="20"/>
      <c r="H3808" s="68"/>
      <c r="I3808" s="17"/>
      <c r="J3808" s="28">
        <v>1.1000000000000001</v>
      </c>
      <c r="K3808" s="17"/>
      <c r="L3808" s="649">
        <f>PRODUCT(C3808:K3808)</f>
        <v>154.88000000000002</v>
      </c>
    </row>
    <row r="3809" spans="2:12" ht="15">
      <c r="B3809" s="838"/>
      <c r="C3809" s="459"/>
      <c r="D3809" s="460"/>
      <c r="E3809" s="839"/>
      <c r="F3809" s="460"/>
      <c r="G3809" s="459"/>
      <c r="H3809" s="840"/>
      <c r="I3809" s="461"/>
      <c r="J3809" s="460"/>
      <c r="K3809" s="461"/>
      <c r="L3809" s="761"/>
    </row>
    <row r="3810" spans="2:12" ht="15">
      <c r="B3810" s="650" t="s">
        <v>461</v>
      </c>
      <c r="C3810" s="19" t="s">
        <v>520</v>
      </c>
      <c r="D3810" s="19">
        <v>0.9</v>
      </c>
      <c r="E3810" s="137">
        <v>1</v>
      </c>
      <c r="F3810" s="19">
        <v>200</v>
      </c>
      <c r="G3810" s="20"/>
      <c r="H3810" s="21"/>
      <c r="I3810" s="17"/>
      <c r="J3810" s="28">
        <v>1.1000000000000001</v>
      </c>
      <c r="K3810" s="17"/>
      <c r="L3810" s="649">
        <f>PRODUCT(C3810:K3810)</f>
        <v>198.00000000000003</v>
      </c>
    </row>
    <row r="3811" spans="2:12" ht="15">
      <c r="B3811" s="650"/>
      <c r="C3811" s="20"/>
      <c r="D3811" s="19"/>
      <c r="E3811" s="137"/>
      <c r="F3811" s="19"/>
      <c r="G3811" s="20"/>
      <c r="H3811" s="20"/>
      <c r="I3811" s="20"/>
      <c r="J3811" s="19"/>
      <c r="K3811" s="17"/>
      <c r="L3811" s="649"/>
    </row>
    <row r="3812" spans="2:12" ht="15">
      <c r="B3812" s="650" t="s">
        <v>462</v>
      </c>
      <c r="C3812" s="19" t="s">
        <v>520</v>
      </c>
      <c r="D3812" s="19">
        <v>0.9</v>
      </c>
      <c r="E3812" s="137">
        <v>1</v>
      </c>
      <c r="F3812" s="19">
        <v>170</v>
      </c>
      <c r="G3812" s="20"/>
      <c r="H3812" s="20"/>
      <c r="I3812" s="20"/>
      <c r="J3812" s="28">
        <v>1.1000000000000001</v>
      </c>
      <c r="K3812" s="17"/>
      <c r="L3812" s="649">
        <f t="shared" ref="L3812" si="270">PRODUCT(C3812:K3812)</f>
        <v>168.3</v>
      </c>
    </row>
    <row r="3813" spans="2:12" ht="15">
      <c r="B3813" s="655"/>
      <c r="C3813" s="19"/>
      <c r="D3813" s="20"/>
      <c r="E3813" s="20"/>
      <c r="F3813" s="20"/>
      <c r="G3813" s="20"/>
      <c r="H3813" s="19"/>
      <c r="I3813" s="20"/>
      <c r="J3813" s="19"/>
      <c r="K3813" s="17"/>
      <c r="L3813" s="649"/>
    </row>
    <row r="3814" spans="2:12" ht="15">
      <c r="B3814" s="650"/>
      <c r="C3814" s="19"/>
      <c r="D3814" s="20"/>
      <c r="E3814" s="20"/>
      <c r="F3814" s="20"/>
      <c r="G3814" s="20"/>
      <c r="H3814" s="19"/>
      <c r="I3814" s="20"/>
      <c r="J3814" s="19"/>
      <c r="K3814" s="17"/>
      <c r="L3814" s="649"/>
    </row>
    <row r="3815" spans="2:12" ht="15">
      <c r="B3815" s="841"/>
      <c r="C3815" s="459"/>
      <c r="D3815" s="460"/>
      <c r="E3815" s="460"/>
      <c r="F3815" s="460"/>
      <c r="G3815" s="459"/>
      <c r="H3815" s="840"/>
      <c r="I3815" s="461"/>
      <c r="J3815" s="460"/>
      <c r="K3815" s="461"/>
      <c r="L3815" s="761"/>
    </row>
    <row r="3816" spans="2:12" ht="15">
      <c r="B3816" s="841"/>
      <c r="C3816" s="459"/>
      <c r="D3816" s="460"/>
      <c r="E3816" s="460"/>
      <c r="F3816" s="460"/>
      <c r="G3816" s="459"/>
      <c r="H3816" s="840"/>
      <c r="I3816" s="461"/>
      <c r="J3816" s="460"/>
      <c r="K3816" s="461"/>
      <c r="L3816" s="761"/>
    </row>
    <row r="3817" spans="2:12" ht="15.75">
      <c r="B3817" s="981" t="s">
        <v>414</v>
      </c>
      <c r="C3817" s="982"/>
      <c r="D3817" s="982"/>
      <c r="E3817" s="982"/>
      <c r="F3817" s="982"/>
      <c r="G3817" s="982"/>
      <c r="H3817" s="982"/>
      <c r="I3817" s="982"/>
      <c r="J3817" s="982"/>
      <c r="K3817" s="982"/>
      <c r="L3817" s="983"/>
    </row>
    <row r="3818" spans="2:12">
      <c r="B3818" s="651"/>
      <c r="L3818" s="652"/>
    </row>
    <row r="3819" spans="2:12" ht="15.75">
      <c r="B3819" s="638" t="s">
        <v>398</v>
      </c>
      <c r="C3819" s="8">
        <v>4.5</v>
      </c>
      <c r="D3819" s="1015" t="s">
        <v>61</v>
      </c>
      <c r="E3819" s="1016"/>
      <c r="F3819" s="1016"/>
      <c r="G3819" s="1017"/>
      <c r="H3819" s="11"/>
      <c r="I3819" s="11" t="s">
        <v>400</v>
      </c>
      <c r="J3819" s="14" t="s">
        <v>21</v>
      </c>
      <c r="K3819" s="11" t="s">
        <v>401</v>
      </c>
      <c r="L3819" s="750"/>
    </row>
    <row r="3820" spans="2:12" ht="15">
      <c r="B3820" s="1005"/>
      <c r="C3820" s="1006"/>
      <c r="D3820" s="1006"/>
      <c r="E3820" s="1006"/>
      <c r="F3820" s="1006"/>
      <c r="G3820" s="1006"/>
      <c r="H3820" s="1006"/>
      <c r="I3820" s="1006"/>
      <c r="J3820" s="1006"/>
      <c r="K3820" s="1006"/>
      <c r="L3820" s="1007"/>
    </row>
    <row r="3821" spans="2:12" ht="31.5">
      <c r="B3821" s="642" t="s">
        <v>399</v>
      </c>
      <c r="C3821" s="25">
        <f>+'PROPUESTA ECONOMICA(Proponente)'!C415</f>
        <v>4.7</v>
      </c>
      <c r="D3821" s="12" t="str">
        <f>+VLOOKUP('MEMORIAS DE CANTIDADES'!C3821,'PROPUESTA ECONOMICA(Proponente)'!$C$379:$H$661,5,FALSE)</f>
        <v>Suministro e instalación de MACDRAIN 2L 20.2, (Incluye suministro e instalación).</v>
      </c>
      <c r="E3821" s="13"/>
      <c r="F3821" s="12"/>
      <c r="G3821" s="12"/>
      <c r="H3821" s="12"/>
      <c r="I3821" s="11" t="s">
        <v>400</v>
      </c>
      <c r="J3821" s="12" t="str">
        <f>+VLOOKUP('MEMORIAS DE CANTIDADES'!C3821,'PROPUESTA ECONOMICA(Proponente)'!$C$379:$H$661,6,FALSE)</f>
        <v>m2</v>
      </c>
      <c r="K3821" s="11" t="s">
        <v>401</v>
      </c>
      <c r="L3821" s="837">
        <f>SUM(L3822:L3829)</f>
        <v>6153.1</v>
      </c>
    </row>
    <row r="3822" spans="2:12" ht="15">
      <c r="B3822" s="644"/>
      <c r="C3822" s="16"/>
      <c r="D3822" s="15"/>
      <c r="E3822" s="15"/>
      <c r="F3822" s="15"/>
      <c r="G3822" s="15"/>
      <c r="H3822" s="15"/>
      <c r="I3822" s="15"/>
      <c r="J3822" s="15"/>
      <c r="K3822" s="17"/>
      <c r="L3822" s="645"/>
    </row>
    <row r="3823" spans="2:12" ht="47.25">
      <c r="B3823" s="646" t="s">
        <v>402</v>
      </c>
      <c r="C3823" s="18" t="s">
        <v>403</v>
      </c>
      <c r="D3823" s="18" t="s">
        <v>404</v>
      </c>
      <c r="E3823" s="18" t="s">
        <v>405</v>
      </c>
      <c r="F3823" s="18" t="s">
        <v>406</v>
      </c>
      <c r="G3823" s="18" t="s">
        <v>407</v>
      </c>
      <c r="H3823" s="5" t="s">
        <v>408</v>
      </c>
      <c r="I3823" s="18" t="s">
        <v>409</v>
      </c>
      <c r="J3823" s="5" t="s">
        <v>410</v>
      </c>
      <c r="K3823" s="5" t="s">
        <v>411</v>
      </c>
      <c r="L3823" s="647" t="s">
        <v>412</v>
      </c>
    </row>
    <row r="3824" spans="2:12" ht="15">
      <c r="B3824" s="648" t="s">
        <v>461</v>
      </c>
      <c r="C3824" s="19"/>
      <c r="D3824" s="19">
        <v>44.2</v>
      </c>
      <c r="E3824" s="19"/>
      <c r="F3824" s="19">
        <v>75.5</v>
      </c>
      <c r="G3824" s="20"/>
      <c r="H3824" s="68"/>
      <c r="I3824" s="17"/>
      <c r="J3824" s="28"/>
      <c r="K3824" s="17"/>
      <c r="L3824" s="649">
        <f>PRODUCT(C3824:K3824)</f>
        <v>3337.1000000000004</v>
      </c>
    </row>
    <row r="3825" spans="2:12" ht="15">
      <c r="B3825" s="648" t="s">
        <v>462</v>
      </c>
      <c r="C3825" s="20"/>
      <c r="D3825" s="19">
        <v>44</v>
      </c>
      <c r="E3825" s="19"/>
      <c r="F3825" s="19">
        <v>64</v>
      </c>
      <c r="G3825" s="20"/>
      <c r="H3825" s="68"/>
      <c r="I3825" s="17"/>
      <c r="J3825" s="19"/>
      <c r="K3825" s="17"/>
      <c r="L3825" s="649">
        <f>PRODUCT(C3825:K3825)</f>
        <v>2816</v>
      </c>
    </row>
    <row r="3826" spans="2:12" ht="15">
      <c r="B3826" s="650"/>
      <c r="C3826" s="20"/>
      <c r="D3826" s="20"/>
      <c r="E3826" s="20"/>
      <c r="F3826" s="20"/>
      <c r="G3826" s="20"/>
      <c r="H3826" s="20"/>
      <c r="I3826" s="20"/>
      <c r="J3826" s="19"/>
      <c r="K3826" s="17"/>
      <c r="L3826" s="649"/>
    </row>
    <row r="3827" spans="2:12" ht="15">
      <c r="B3827" s="650"/>
      <c r="C3827" s="20"/>
      <c r="D3827" s="20"/>
      <c r="E3827" s="20"/>
      <c r="F3827" s="20"/>
      <c r="G3827" s="20"/>
      <c r="H3827" s="19"/>
      <c r="I3827" s="20"/>
      <c r="J3827" s="19"/>
      <c r="K3827" s="17"/>
      <c r="L3827" s="649"/>
    </row>
    <row r="3828" spans="2:12" ht="15">
      <c r="B3828" s="650"/>
      <c r="C3828" s="20"/>
      <c r="D3828" s="20"/>
      <c r="E3828" s="20"/>
      <c r="F3828" s="20"/>
      <c r="G3828" s="20"/>
      <c r="H3828" s="19"/>
      <c r="I3828" s="20"/>
      <c r="J3828" s="19"/>
      <c r="K3828" s="17"/>
      <c r="L3828" s="645"/>
    </row>
    <row r="3829" spans="2:12" ht="15.75">
      <c r="B3829" s="981" t="s">
        <v>414</v>
      </c>
      <c r="C3829" s="982"/>
      <c r="D3829" s="982"/>
      <c r="E3829" s="982"/>
      <c r="F3829" s="982"/>
      <c r="G3829" s="982"/>
      <c r="H3829" s="982"/>
      <c r="I3829" s="982"/>
      <c r="J3829" s="982"/>
      <c r="K3829" s="982"/>
      <c r="L3829" s="983"/>
    </row>
    <row r="3830" spans="2:12">
      <c r="B3830" s="651"/>
      <c r="L3830" s="652"/>
    </row>
    <row r="3831" spans="2:12" ht="15.6" customHeight="1">
      <c r="B3831" s="638" t="s">
        <v>398</v>
      </c>
      <c r="C3831" s="8">
        <v>4.5</v>
      </c>
      <c r="D3831" s="1008" t="s">
        <v>917</v>
      </c>
      <c r="E3831" s="1009"/>
      <c r="F3831" s="1009"/>
      <c r="G3831" s="1009"/>
      <c r="H3831" s="1009"/>
      <c r="I3831" s="1009"/>
      <c r="J3831" s="1009"/>
      <c r="K3831" s="1009"/>
      <c r="L3831" s="1010"/>
    </row>
    <row r="3832" spans="2:12" ht="15">
      <c r="B3832" s="1005"/>
      <c r="C3832" s="1006"/>
      <c r="D3832" s="1006"/>
      <c r="E3832" s="1006"/>
      <c r="F3832" s="1006"/>
      <c r="G3832" s="1006"/>
      <c r="H3832" s="1006"/>
      <c r="I3832" s="1006"/>
      <c r="J3832" s="1006"/>
      <c r="K3832" s="1006"/>
      <c r="L3832" s="1007"/>
    </row>
    <row r="3833" spans="2:12" ht="47.25">
      <c r="B3833" s="642" t="s">
        <v>399</v>
      </c>
      <c r="C3833" s="25">
        <f>+'PROPUESTA ECONOMICA(Proponente)'!C416</f>
        <v>4.8</v>
      </c>
      <c r="D3833" s="12" t="str">
        <f>+VLOOKUP('MEMORIAS DE CANTIDADES'!C3833,'PROPUESTA ECONOMICA(Proponente)'!$C$379:$H$661,5,FALSE)</f>
        <v>Suministro e instalación Geodren Tubular MACDRAIN TD 2L 20.2, (Incluye suministro e instalación).</v>
      </c>
      <c r="E3833" s="13"/>
      <c r="F3833" s="12"/>
      <c r="G3833" s="12"/>
      <c r="H3833" s="12"/>
      <c r="I3833" s="11" t="s">
        <v>400</v>
      </c>
      <c r="J3833" s="12" t="str">
        <f>+VLOOKUP('MEMORIAS DE CANTIDADES'!C3833,'PROPUESTA ECONOMICA(Proponente)'!$C$379:$H$661,6,FALSE)</f>
        <v>ml</v>
      </c>
      <c r="K3833" s="11" t="s">
        <v>401</v>
      </c>
      <c r="L3833" s="837">
        <f>SUM(L3834:L3841)</f>
        <v>370</v>
      </c>
    </row>
    <row r="3834" spans="2:12" ht="15">
      <c r="B3834" s="644"/>
      <c r="C3834" s="16"/>
      <c r="D3834" s="15"/>
      <c r="E3834" s="15"/>
      <c r="F3834" s="15"/>
      <c r="G3834" s="15"/>
      <c r="H3834" s="15"/>
      <c r="I3834" s="15"/>
      <c r="J3834" s="15"/>
      <c r="K3834" s="17"/>
      <c r="L3834" s="645"/>
    </row>
    <row r="3835" spans="2:12" ht="47.25">
      <c r="B3835" s="646" t="s">
        <v>402</v>
      </c>
      <c r="C3835" s="18" t="s">
        <v>403</v>
      </c>
      <c r="D3835" s="18" t="s">
        <v>404</v>
      </c>
      <c r="E3835" s="18" t="s">
        <v>405</v>
      </c>
      <c r="F3835" s="18" t="s">
        <v>406</v>
      </c>
      <c r="G3835" s="18" t="s">
        <v>407</v>
      </c>
      <c r="H3835" s="5" t="s">
        <v>408</v>
      </c>
      <c r="I3835" s="18" t="s">
        <v>409</v>
      </c>
      <c r="J3835" s="5" t="s">
        <v>410</v>
      </c>
      <c r="K3835" s="5" t="s">
        <v>411</v>
      </c>
      <c r="L3835" s="647" t="s">
        <v>412</v>
      </c>
    </row>
    <row r="3836" spans="2:12" ht="15">
      <c r="B3836" s="648" t="s">
        <v>461</v>
      </c>
      <c r="C3836" s="269"/>
      <c r="D3836" s="269"/>
      <c r="E3836" s="356"/>
      <c r="F3836" s="269">
        <v>200</v>
      </c>
      <c r="G3836" s="270"/>
      <c r="H3836" s="346"/>
      <c r="I3836" s="17"/>
      <c r="J3836" s="28"/>
      <c r="K3836" s="17"/>
      <c r="L3836" s="656">
        <f>PRODUCT(C3836:K3836)</f>
        <v>200</v>
      </c>
    </row>
    <row r="3837" spans="2:12" ht="15">
      <c r="B3837" s="648" t="s">
        <v>462</v>
      </c>
      <c r="C3837" s="270"/>
      <c r="D3837" s="269"/>
      <c r="E3837" s="356"/>
      <c r="F3837" s="269">
        <v>170</v>
      </c>
      <c r="G3837" s="270"/>
      <c r="H3837" s="346"/>
      <c r="I3837" s="17"/>
      <c r="J3837" s="269"/>
      <c r="K3837" s="17"/>
      <c r="L3837" s="656">
        <f t="shared" ref="L3837" si="271">PRODUCT(C3837:K3837)</f>
        <v>170</v>
      </c>
    </row>
    <row r="3838" spans="2:12" ht="15">
      <c r="B3838" s="650"/>
      <c r="C3838" s="20"/>
      <c r="D3838" s="20"/>
      <c r="E3838" s="20"/>
      <c r="F3838" s="20"/>
      <c r="G3838" s="20"/>
      <c r="H3838" s="20"/>
      <c r="I3838" s="20"/>
      <c r="J3838" s="19"/>
      <c r="K3838" s="17"/>
      <c r="L3838" s="649"/>
    </row>
    <row r="3839" spans="2:12" ht="15">
      <c r="B3839" s="650"/>
      <c r="C3839" s="20"/>
      <c r="D3839" s="20"/>
      <c r="E3839" s="20"/>
      <c r="F3839" s="20"/>
      <c r="G3839" s="20"/>
      <c r="H3839" s="19"/>
      <c r="I3839" s="20"/>
      <c r="J3839" s="19"/>
      <c r="K3839" s="17"/>
      <c r="L3839" s="649"/>
    </row>
    <row r="3840" spans="2:12" ht="15">
      <c r="B3840" s="650"/>
      <c r="C3840" s="20"/>
      <c r="D3840" s="20"/>
      <c r="E3840" s="20"/>
      <c r="F3840" s="20"/>
      <c r="G3840" s="20"/>
      <c r="H3840" s="19"/>
      <c r="I3840" s="20"/>
      <c r="J3840" s="19"/>
      <c r="K3840" s="17"/>
      <c r="L3840" s="645"/>
    </row>
    <row r="3841" spans="2:12" ht="15.75">
      <c r="B3841" s="981" t="s">
        <v>414</v>
      </c>
      <c r="C3841" s="982"/>
      <c r="D3841" s="982"/>
      <c r="E3841" s="982"/>
      <c r="F3841" s="982"/>
      <c r="G3841" s="982"/>
      <c r="H3841" s="982"/>
      <c r="I3841" s="982"/>
      <c r="J3841" s="982"/>
      <c r="K3841" s="982"/>
      <c r="L3841" s="983"/>
    </row>
    <row r="3842" spans="2:12">
      <c r="B3842" s="651"/>
      <c r="L3842" s="652"/>
    </row>
    <row r="3843" spans="2:12" ht="15.6" customHeight="1">
      <c r="B3843" s="638" t="s">
        <v>398</v>
      </c>
      <c r="C3843" s="8">
        <v>4.5</v>
      </c>
      <c r="D3843" s="1008" t="s">
        <v>917</v>
      </c>
      <c r="E3843" s="1009"/>
      <c r="F3843" s="1009"/>
      <c r="G3843" s="1009"/>
      <c r="H3843" s="1009"/>
      <c r="I3843" s="1009"/>
      <c r="J3843" s="1009"/>
      <c r="K3843" s="1009"/>
      <c r="L3843" s="1010"/>
    </row>
    <row r="3844" spans="2:12" ht="15">
      <c r="B3844" s="1005"/>
      <c r="C3844" s="1006"/>
      <c r="D3844" s="1006"/>
      <c r="E3844" s="1006"/>
      <c r="F3844" s="1006"/>
      <c r="G3844" s="1006"/>
      <c r="H3844" s="1006"/>
      <c r="I3844" s="1006"/>
      <c r="J3844" s="1006"/>
      <c r="K3844" s="1006"/>
      <c r="L3844" s="1007"/>
    </row>
    <row r="3845" spans="2:12" ht="47.25">
      <c r="B3845" s="642" t="s">
        <v>399</v>
      </c>
      <c r="C3845" s="25">
        <f>+'PROPUESTA ECONOMICA(Proponente)'!C417</f>
        <v>4.9000000000000004</v>
      </c>
      <c r="D3845" s="12" t="str">
        <f>+VLOOKUP('MEMORIAS DE CANTIDADES'!C3845,'PROPUESTA ECONOMICA(Proponente)'!$C$379:$H$661,5,FALSE)</f>
        <v>Suministro e instalación Tubería Tubería Novafort 8" perforada corrugada, (Incluye suministro e instalación).</v>
      </c>
      <c r="E3845" s="13"/>
      <c r="F3845" s="12"/>
      <c r="G3845" s="12"/>
      <c r="H3845" s="12"/>
      <c r="I3845" s="11" t="s">
        <v>400</v>
      </c>
      <c r="J3845" s="12" t="str">
        <f>+VLOOKUP('MEMORIAS DE CANTIDADES'!C3845,'PROPUESTA ECONOMICA(Proponente)'!$C$379:$H$661,6,FALSE)</f>
        <v>ml</v>
      </c>
      <c r="K3845" s="11" t="s">
        <v>401</v>
      </c>
      <c r="L3845" s="643">
        <f>SUM(L3846:L3853)</f>
        <v>740</v>
      </c>
    </row>
    <row r="3846" spans="2:12" ht="15">
      <c r="B3846" s="644"/>
      <c r="C3846" s="16"/>
      <c r="D3846" s="15"/>
      <c r="E3846" s="15"/>
      <c r="F3846" s="15"/>
      <c r="G3846" s="15"/>
      <c r="H3846" s="15"/>
      <c r="I3846" s="15"/>
      <c r="J3846" s="15"/>
      <c r="K3846" s="17"/>
      <c r="L3846" s="645"/>
    </row>
    <row r="3847" spans="2:12" ht="47.25">
      <c r="B3847" s="646" t="s">
        <v>402</v>
      </c>
      <c r="C3847" s="18" t="s">
        <v>403</v>
      </c>
      <c r="D3847" s="18" t="s">
        <v>404</v>
      </c>
      <c r="E3847" s="18" t="s">
        <v>405</v>
      </c>
      <c r="F3847" s="18" t="s">
        <v>406</v>
      </c>
      <c r="G3847" s="18" t="s">
        <v>407</v>
      </c>
      <c r="H3847" s="5" t="s">
        <v>408</v>
      </c>
      <c r="I3847" s="18" t="s">
        <v>409</v>
      </c>
      <c r="J3847" s="5" t="s">
        <v>410</v>
      </c>
      <c r="K3847" s="5" t="s">
        <v>411</v>
      </c>
      <c r="L3847" s="647" t="s">
        <v>412</v>
      </c>
    </row>
    <row r="3848" spans="2:12" ht="15">
      <c r="B3848" s="648" t="s">
        <v>461</v>
      </c>
      <c r="C3848" s="19"/>
      <c r="D3848" s="19"/>
      <c r="E3848" s="19"/>
      <c r="F3848" s="19">
        <v>200</v>
      </c>
      <c r="G3848" s="20"/>
      <c r="H3848" s="68"/>
      <c r="I3848" s="282">
        <v>2</v>
      </c>
      <c r="J3848" s="28"/>
      <c r="K3848" s="17"/>
      <c r="L3848" s="649">
        <f>PRODUCT(C3848:K3848)</f>
        <v>400</v>
      </c>
    </row>
    <row r="3849" spans="2:12" ht="15">
      <c r="B3849" s="648" t="s">
        <v>462</v>
      </c>
      <c r="C3849" s="20"/>
      <c r="D3849" s="19"/>
      <c r="E3849" s="19"/>
      <c r="F3849" s="19">
        <v>170</v>
      </c>
      <c r="G3849" s="20"/>
      <c r="H3849" s="68"/>
      <c r="I3849" s="282">
        <v>2</v>
      </c>
      <c r="J3849" s="19"/>
      <c r="K3849" s="17"/>
      <c r="L3849" s="649">
        <f>PRODUCT(C3849:K3849)</f>
        <v>340</v>
      </c>
    </row>
    <row r="3850" spans="2:12" ht="15">
      <c r="B3850" s="650"/>
      <c r="C3850" s="20"/>
      <c r="D3850" s="20"/>
      <c r="E3850" s="20"/>
      <c r="F3850" s="20"/>
      <c r="G3850" s="20"/>
      <c r="H3850" s="20"/>
      <c r="I3850" s="20"/>
      <c r="J3850" s="19"/>
      <c r="K3850" s="17"/>
      <c r="L3850" s="649"/>
    </row>
    <row r="3851" spans="2:12" ht="15">
      <c r="B3851" s="650"/>
      <c r="C3851" s="20"/>
      <c r="D3851" s="20"/>
      <c r="E3851" s="20"/>
      <c r="F3851" s="20"/>
      <c r="G3851" s="20"/>
      <c r="H3851" s="19"/>
      <c r="I3851" s="20"/>
      <c r="J3851" s="19"/>
      <c r="K3851" s="17"/>
      <c r="L3851" s="649"/>
    </row>
    <row r="3852" spans="2:12" ht="15">
      <c r="B3852" s="650"/>
      <c r="C3852" s="20"/>
      <c r="D3852" s="20"/>
      <c r="E3852" s="20"/>
      <c r="F3852" s="20"/>
      <c r="G3852" s="20"/>
      <c r="H3852" s="19"/>
      <c r="I3852" s="20"/>
      <c r="J3852" s="19"/>
      <c r="K3852" s="17"/>
      <c r="L3852" s="645"/>
    </row>
    <row r="3853" spans="2:12" ht="15.75">
      <c r="B3853" s="981" t="s">
        <v>414</v>
      </c>
      <c r="C3853" s="982"/>
      <c r="D3853" s="982"/>
      <c r="E3853" s="982"/>
      <c r="F3853" s="982"/>
      <c r="G3853" s="982"/>
      <c r="H3853" s="982"/>
      <c r="I3853" s="982"/>
      <c r="J3853" s="982"/>
      <c r="K3853" s="982"/>
      <c r="L3853" s="983"/>
    </row>
    <row r="3854" spans="2:12">
      <c r="B3854" s="651"/>
      <c r="L3854" s="652"/>
    </row>
    <row r="3855" spans="2:12" ht="15.6" customHeight="1">
      <c r="B3855" s="638" t="s">
        <v>398</v>
      </c>
      <c r="C3855" s="8">
        <v>4.5</v>
      </c>
      <c r="D3855" s="1008" t="s">
        <v>917</v>
      </c>
      <c r="E3855" s="1009"/>
      <c r="F3855" s="1009"/>
      <c r="G3855" s="1009"/>
      <c r="H3855" s="1009"/>
      <c r="I3855" s="1009"/>
      <c r="J3855" s="1009"/>
      <c r="K3855" s="1009"/>
      <c r="L3855" s="1010"/>
    </row>
    <row r="3856" spans="2:12" ht="15">
      <c r="B3856" s="1005"/>
      <c r="C3856" s="1006"/>
      <c r="D3856" s="1006"/>
      <c r="E3856" s="1006"/>
      <c r="F3856" s="1006"/>
      <c r="G3856" s="1006"/>
      <c r="H3856" s="1006"/>
      <c r="I3856" s="1006"/>
      <c r="J3856" s="1006"/>
      <c r="K3856" s="1006"/>
      <c r="L3856" s="1007"/>
    </row>
    <row r="3857" spans="2:12" ht="31.5">
      <c r="B3857" s="642" t="s">
        <v>399</v>
      </c>
      <c r="C3857" s="8" t="str">
        <f>+'PROPUESTA ECONOMICA(Proponente)'!C418</f>
        <v>4.10</v>
      </c>
      <c r="D3857" s="12" t="str">
        <f>+VLOOKUP('MEMORIAS DE CANTIDADES'!C3857,'PROPUESTA ECONOMICA(Proponente)'!$C$379:$H$661,5,FALSE)</f>
        <v>Suministro e instalación de Tubería Novafort 6", (Incluye suministro e instalación).</v>
      </c>
      <c r="E3857" s="13"/>
      <c r="F3857" s="12"/>
      <c r="G3857" s="12"/>
      <c r="H3857" s="12"/>
      <c r="I3857" s="11" t="s">
        <v>400</v>
      </c>
      <c r="J3857" s="12" t="str">
        <f>+VLOOKUP('MEMORIAS DE CANTIDADES'!C3857,'PROPUESTA ECONOMICA(Proponente)'!$C$379:$H$661,6,FALSE)</f>
        <v>ml</v>
      </c>
      <c r="K3857" s="11" t="s">
        <v>401</v>
      </c>
      <c r="L3857" s="643">
        <f>SUM(L3858:L3865)</f>
        <v>58</v>
      </c>
    </row>
    <row r="3858" spans="2:12" ht="15">
      <c r="B3858" s="644"/>
      <c r="C3858" s="16"/>
      <c r="D3858" s="15"/>
      <c r="E3858" s="15"/>
      <c r="F3858" s="15"/>
      <c r="G3858" s="15"/>
      <c r="H3858" s="15"/>
      <c r="I3858" s="15"/>
      <c r="J3858" s="15"/>
      <c r="K3858" s="17"/>
      <c r="L3858" s="645"/>
    </row>
    <row r="3859" spans="2:12" ht="47.25">
      <c r="B3859" s="646" t="s">
        <v>402</v>
      </c>
      <c r="C3859" s="18" t="s">
        <v>403</v>
      </c>
      <c r="D3859" s="18" t="s">
        <v>404</v>
      </c>
      <c r="E3859" s="18" t="s">
        <v>405</v>
      </c>
      <c r="F3859" s="18" t="s">
        <v>406</v>
      </c>
      <c r="G3859" s="18" t="s">
        <v>407</v>
      </c>
      <c r="H3859" s="5" t="s">
        <v>408</v>
      </c>
      <c r="I3859" s="18" t="s">
        <v>409</v>
      </c>
      <c r="J3859" s="5" t="s">
        <v>410</v>
      </c>
      <c r="K3859" s="5" t="s">
        <v>411</v>
      </c>
      <c r="L3859" s="647" t="s">
        <v>412</v>
      </c>
    </row>
    <row r="3860" spans="2:12" ht="15">
      <c r="B3860" s="648" t="s">
        <v>461</v>
      </c>
      <c r="C3860" s="19"/>
      <c r="D3860" s="19"/>
      <c r="E3860" s="19"/>
      <c r="F3860" s="19">
        <f>9+16</f>
        <v>25</v>
      </c>
      <c r="G3860" s="20"/>
      <c r="H3860" s="68"/>
      <c r="I3860" s="17"/>
      <c r="J3860" s="28"/>
      <c r="K3860" s="17"/>
      <c r="L3860" s="649">
        <f>PRODUCT(C3860:K3860)</f>
        <v>25</v>
      </c>
    </row>
    <row r="3861" spans="2:12" ht="15">
      <c r="B3861" s="648" t="s">
        <v>462</v>
      </c>
      <c r="C3861" s="20"/>
      <c r="D3861" s="19"/>
      <c r="E3861" s="19"/>
      <c r="F3861" s="19">
        <f>16.5*2</f>
        <v>33</v>
      </c>
      <c r="G3861" s="20"/>
      <c r="H3861" s="68"/>
      <c r="I3861" s="17"/>
      <c r="J3861" s="19"/>
      <c r="K3861" s="17"/>
      <c r="L3861" s="649">
        <f t="shared" ref="L3861" si="272">PRODUCT(C3861:K3861)</f>
        <v>33</v>
      </c>
    </row>
    <row r="3862" spans="2:12" ht="15">
      <c r="B3862" s="650"/>
      <c r="C3862" s="20"/>
      <c r="D3862" s="20"/>
      <c r="E3862" s="20"/>
      <c r="F3862" s="20"/>
      <c r="G3862" s="20"/>
      <c r="H3862" s="20"/>
      <c r="I3862" s="20"/>
      <c r="J3862" s="19"/>
      <c r="K3862" s="17"/>
      <c r="L3862" s="649"/>
    </row>
    <row r="3863" spans="2:12" ht="15">
      <c r="B3863" s="650"/>
      <c r="C3863" s="20"/>
      <c r="D3863" s="20"/>
      <c r="E3863" s="20"/>
      <c r="F3863" s="20"/>
      <c r="G3863" s="20"/>
      <c r="H3863" s="19"/>
      <c r="I3863" s="20"/>
      <c r="J3863" s="19"/>
      <c r="K3863" s="17"/>
      <c r="L3863" s="649"/>
    </row>
    <row r="3864" spans="2:12" ht="15">
      <c r="B3864" s="650"/>
      <c r="C3864" s="20"/>
      <c r="D3864" s="20"/>
      <c r="E3864" s="20"/>
      <c r="F3864" s="20"/>
      <c r="G3864" s="20"/>
      <c r="H3864" s="19"/>
      <c r="I3864" s="20"/>
      <c r="J3864" s="19"/>
      <c r="K3864" s="17"/>
      <c r="L3864" s="645"/>
    </row>
    <row r="3865" spans="2:12" ht="15.75">
      <c r="B3865" s="981" t="s">
        <v>414</v>
      </c>
      <c r="C3865" s="982"/>
      <c r="D3865" s="982"/>
      <c r="E3865" s="982"/>
      <c r="F3865" s="982"/>
      <c r="G3865" s="982"/>
      <c r="H3865" s="982"/>
      <c r="I3865" s="982"/>
      <c r="J3865" s="982"/>
      <c r="K3865" s="982"/>
      <c r="L3865" s="983"/>
    </row>
    <row r="3866" spans="2:12">
      <c r="B3866" s="651"/>
      <c r="L3866" s="652"/>
    </row>
    <row r="3867" spans="2:12" ht="15.6" customHeight="1">
      <c r="B3867" s="638" t="s">
        <v>398</v>
      </c>
      <c r="C3867" s="8">
        <v>4.5</v>
      </c>
      <c r="D3867" s="1008" t="s">
        <v>917</v>
      </c>
      <c r="E3867" s="1009"/>
      <c r="F3867" s="1009"/>
      <c r="G3867" s="1009"/>
      <c r="H3867" s="1009"/>
      <c r="I3867" s="1009"/>
      <c r="J3867" s="1009"/>
      <c r="K3867" s="1009"/>
      <c r="L3867" s="1010"/>
    </row>
    <row r="3868" spans="2:12" ht="15">
      <c r="B3868" s="1005"/>
      <c r="C3868" s="1006"/>
      <c r="D3868" s="1006"/>
      <c r="E3868" s="1006"/>
      <c r="F3868" s="1006"/>
      <c r="G3868" s="1006"/>
      <c r="H3868" s="1006"/>
      <c r="I3868" s="1006"/>
      <c r="J3868" s="1006"/>
      <c r="K3868" s="1006"/>
      <c r="L3868" s="1007"/>
    </row>
    <row r="3869" spans="2:12" ht="15.6" customHeight="1">
      <c r="B3869" s="642" t="s">
        <v>399</v>
      </c>
      <c r="C3869" s="8">
        <f>+'PROPUESTA ECONOMICA(Proponente)'!C419</f>
        <v>4.1100000000000003</v>
      </c>
      <c r="D3869" s="12" t="str">
        <f>+VLOOKUP('MEMORIAS DE CANTIDADES'!C3869,'PROPUESTA ECONOMICA(Proponente)'!$C$379:$H$661,5,FALSE)</f>
        <v>Suministro e instalación de Tubería Novafort 14", (Incluye suministro e instalación).</v>
      </c>
      <c r="E3869" s="13"/>
      <c r="F3869" s="12"/>
      <c r="G3869" s="12"/>
      <c r="H3869" s="12"/>
      <c r="I3869" s="11" t="s">
        <v>400</v>
      </c>
      <c r="J3869" s="12" t="str">
        <f>+VLOOKUP('MEMORIAS DE CANTIDADES'!C3869,'PROPUESTA ECONOMICA(Proponente)'!$C$379:$H$661,6,FALSE)</f>
        <v>ml</v>
      </c>
      <c r="K3869" s="11" t="s">
        <v>401</v>
      </c>
      <c r="L3869" s="643">
        <f>SUM(L3870:L3877)</f>
        <v>312</v>
      </c>
    </row>
    <row r="3870" spans="2:12" ht="15">
      <c r="B3870" s="644"/>
      <c r="C3870" s="16"/>
      <c r="D3870" s="15"/>
      <c r="E3870" s="15"/>
      <c r="F3870" s="15"/>
      <c r="G3870" s="15"/>
      <c r="H3870" s="15"/>
      <c r="I3870" s="15"/>
      <c r="J3870" s="15"/>
      <c r="K3870" s="17"/>
      <c r="L3870" s="645"/>
    </row>
    <row r="3871" spans="2:12" ht="47.25">
      <c r="B3871" s="646" t="s">
        <v>402</v>
      </c>
      <c r="C3871" s="18" t="s">
        <v>403</v>
      </c>
      <c r="D3871" s="18" t="s">
        <v>404</v>
      </c>
      <c r="E3871" s="18" t="s">
        <v>405</v>
      </c>
      <c r="F3871" s="18" t="s">
        <v>406</v>
      </c>
      <c r="G3871" s="18" t="s">
        <v>407</v>
      </c>
      <c r="H3871" s="5" t="s">
        <v>408</v>
      </c>
      <c r="I3871" s="18" t="s">
        <v>409</v>
      </c>
      <c r="J3871" s="5" t="s">
        <v>410</v>
      </c>
      <c r="K3871" s="5" t="s">
        <v>411</v>
      </c>
      <c r="L3871" s="647" t="s">
        <v>412</v>
      </c>
    </row>
    <row r="3872" spans="2:12" ht="15">
      <c r="B3872" s="648" t="s">
        <v>461</v>
      </c>
      <c r="C3872" s="19"/>
      <c r="D3872" s="19"/>
      <c r="E3872" s="19"/>
      <c r="F3872" s="19">
        <v>12</v>
      </c>
      <c r="G3872" s="20"/>
      <c r="H3872" s="68"/>
      <c r="I3872" s="17">
        <v>2</v>
      </c>
      <c r="J3872" s="28"/>
      <c r="K3872" s="17"/>
      <c r="L3872" s="649">
        <f>PRODUCT(C3872:K3872)</f>
        <v>24</v>
      </c>
    </row>
    <row r="3873" spans="2:12" ht="15">
      <c r="B3873" s="648" t="s">
        <v>462</v>
      </c>
      <c r="C3873" s="20"/>
      <c r="D3873" s="19"/>
      <c r="E3873" s="19"/>
      <c r="F3873" s="19">
        <f>3*6</f>
        <v>18</v>
      </c>
      <c r="G3873" s="20"/>
      <c r="H3873" s="68"/>
      <c r="I3873" s="17">
        <v>2</v>
      </c>
      <c r="J3873" s="19"/>
      <c r="K3873" s="17"/>
      <c r="L3873" s="649">
        <f t="shared" ref="L3873" si="273">PRODUCT(C3873:K3873)</f>
        <v>36</v>
      </c>
    </row>
    <row r="3874" spans="2:12" ht="15">
      <c r="B3874" s="650" t="s">
        <v>1054</v>
      </c>
      <c r="C3874" s="20"/>
      <c r="D3874" s="20"/>
      <c r="E3874" s="20"/>
      <c r="F3874" s="20">
        <f>32*6</f>
        <v>192</v>
      </c>
      <c r="G3874" s="20"/>
      <c r="H3874" s="20"/>
      <c r="I3874" s="20"/>
      <c r="J3874" s="19"/>
      <c r="K3874" s="17"/>
      <c r="L3874" s="649">
        <f>PRODUCT(C3874:K3874)</f>
        <v>192</v>
      </c>
    </row>
    <row r="3875" spans="2:12" ht="15">
      <c r="B3875" s="650" t="s">
        <v>421</v>
      </c>
      <c r="C3875" s="20"/>
      <c r="D3875" s="20"/>
      <c r="E3875" s="20"/>
      <c r="F3875" s="20">
        <v>60</v>
      </c>
      <c r="G3875" s="20"/>
      <c r="H3875" s="19"/>
      <c r="I3875" s="20"/>
      <c r="J3875" s="19"/>
      <c r="K3875" s="17"/>
      <c r="L3875" s="649">
        <f>PRODUCT(C3875:K3875)</f>
        <v>60</v>
      </c>
    </row>
    <row r="3876" spans="2:12" ht="15">
      <c r="B3876" s="650"/>
      <c r="C3876" s="20"/>
      <c r="D3876" s="20"/>
      <c r="E3876" s="20"/>
      <c r="F3876" s="20"/>
      <c r="G3876" s="20"/>
      <c r="H3876" s="19"/>
      <c r="I3876" s="20"/>
      <c r="J3876" s="19"/>
      <c r="K3876" s="17"/>
      <c r="L3876" s="645"/>
    </row>
    <row r="3877" spans="2:12" ht="15.75">
      <c r="B3877" s="981" t="s">
        <v>414</v>
      </c>
      <c r="C3877" s="982"/>
      <c r="D3877" s="982"/>
      <c r="E3877" s="982"/>
      <c r="F3877" s="982"/>
      <c r="G3877" s="982"/>
      <c r="H3877" s="982"/>
      <c r="I3877" s="982"/>
      <c r="J3877" s="982"/>
      <c r="K3877" s="982"/>
      <c r="L3877" s="983"/>
    </row>
    <row r="3878" spans="2:12">
      <c r="B3878" s="651"/>
      <c r="L3878" s="652"/>
    </row>
    <row r="3879" spans="2:12" ht="15.6" customHeight="1">
      <c r="B3879" s="638" t="s">
        <v>398</v>
      </c>
      <c r="C3879" s="8">
        <v>4.5</v>
      </c>
      <c r="D3879" s="1008" t="s">
        <v>917</v>
      </c>
      <c r="E3879" s="1009"/>
      <c r="F3879" s="1009"/>
      <c r="G3879" s="1009"/>
      <c r="H3879" s="1009"/>
      <c r="I3879" s="1009"/>
      <c r="J3879" s="1009"/>
      <c r="K3879" s="1009"/>
      <c r="L3879" s="1010"/>
    </row>
    <row r="3880" spans="2:12" ht="15">
      <c r="B3880" s="1005"/>
      <c r="C3880" s="1006"/>
      <c r="D3880" s="1006"/>
      <c r="E3880" s="1006"/>
      <c r="F3880" s="1006"/>
      <c r="G3880" s="1006"/>
      <c r="H3880" s="1006"/>
      <c r="I3880" s="1006"/>
      <c r="J3880" s="1006"/>
      <c r="K3880" s="1006"/>
      <c r="L3880" s="1007"/>
    </row>
    <row r="3881" spans="2:12" ht="63">
      <c r="B3881" s="646" t="s">
        <v>399</v>
      </c>
      <c r="C3881" s="453">
        <f>+'PROPUESTA ECONOMICA(Proponente)'!C420</f>
        <v>4.12</v>
      </c>
      <c r="D3881" s="454" t="str">
        <f>+VLOOKUP('MEMORIAS DE CANTIDADES'!C3881,'PROPUESTA ECONOMICA(Proponente)'!$C$379:$H$661,5,FALSE)</f>
        <v>Grama sintética en fibra artificial de polietileno fibrilado, de tercera generación, incluye un riego con arena de sílice y grano de caucho, (Incluye suministro e instalación).</v>
      </c>
      <c r="E3881" s="22"/>
      <c r="F3881" s="454"/>
      <c r="G3881" s="454"/>
      <c r="H3881" s="454"/>
      <c r="I3881" s="5" t="s">
        <v>400</v>
      </c>
      <c r="J3881" s="454" t="str">
        <f>+VLOOKUP('MEMORIAS DE CANTIDADES'!C3881,'PROPUESTA ECONOMICA(Proponente)'!$C$379:$H$661,6,FALSE)</f>
        <v>m2</v>
      </c>
      <c r="K3881" s="5" t="s">
        <v>401</v>
      </c>
      <c r="L3881" s="783">
        <f>SUM(L3882:L3889)</f>
        <v>6153.1</v>
      </c>
    </row>
    <row r="3882" spans="2:12" ht="15">
      <c r="B3882" s="644"/>
      <c r="C3882" s="16"/>
      <c r="D3882" s="15"/>
      <c r="E3882" s="15"/>
      <c r="F3882" s="15"/>
      <c r="G3882" s="15"/>
      <c r="H3882" s="15"/>
      <c r="I3882" s="15"/>
      <c r="J3882" s="15"/>
      <c r="K3882" s="17"/>
      <c r="L3882" s="645"/>
    </row>
    <row r="3883" spans="2:12" ht="47.25">
      <c r="B3883" s="646" t="s">
        <v>402</v>
      </c>
      <c r="C3883" s="18" t="s">
        <v>403</v>
      </c>
      <c r="D3883" s="18" t="s">
        <v>404</v>
      </c>
      <c r="E3883" s="18" t="s">
        <v>405</v>
      </c>
      <c r="F3883" s="18" t="s">
        <v>406</v>
      </c>
      <c r="G3883" s="18" t="s">
        <v>407</v>
      </c>
      <c r="H3883" s="5" t="s">
        <v>408</v>
      </c>
      <c r="I3883" s="18" t="s">
        <v>409</v>
      </c>
      <c r="J3883" s="5" t="s">
        <v>410</v>
      </c>
      <c r="K3883" s="5" t="s">
        <v>411</v>
      </c>
      <c r="L3883" s="647" t="s">
        <v>412</v>
      </c>
    </row>
    <row r="3884" spans="2:12" ht="15">
      <c r="B3884" s="648" t="s">
        <v>461</v>
      </c>
      <c r="C3884" s="19"/>
      <c r="D3884" s="19">
        <v>44.2</v>
      </c>
      <c r="E3884" s="19"/>
      <c r="F3884" s="19">
        <v>75.5</v>
      </c>
      <c r="G3884" s="20"/>
      <c r="H3884" s="68"/>
      <c r="I3884" s="17"/>
      <c r="J3884" s="28"/>
      <c r="K3884" s="17"/>
      <c r="L3884" s="649">
        <f>PRODUCT(C3884:K3884)</f>
        <v>3337.1000000000004</v>
      </c>
    </row>
    <row r="3885" spans="2:12" ht="15">
      <c r="B3885" s="648" t="s">
        <v>462</v>
      </c>
      <c r="C3885" s="20"/>
      <c r="D3885" s="19">
        <v>44</v>
      </c>
      <c r="E3885" s="19"/>
      <c r="F3885" s="19">
        <v>64</v>
      </c>
      <c r="G3885" s="20"/>
      <c r="H3885" s="68"/>
      <c r="I3885" s="17"/>
      <c r="J3885" s="19"/>
      <c r="K3885" s="17"/>
      <c r="L3885" s="649">
        <f t="shared" ref="L3885" si="274">PRODUCT(C3885:K3885)</f>
        <v>2816</v>
      </c>
    </row>
    <row r="3886" spans="2:12" ht="15">
      <c r="B3886" s="650"/>
      <c r="C3886" s="20"/>
      <c r="D3886" s="20"/>
      <c r="E3886" s="20"/>
      <c r="F3886" s="20"/>
      <c r="G3886" s="20"/>
      <c r="H3886" s="20"/>
      <c r="I3886" s="20"/>
      <c r="J3886" s="19"/>
      <c r="K3886" s="17"/>
      <c r="L3886" s="649"/>
    </row>
    <row r="3887" spans="2:12" ht="15">
      <c r="B3887" s="650"/>
      <c r="C3887" s="20"/>
      <c r="D3887" s="20"/>
      <c r="E3887" s="20"/>
      <c r="F3887" s="20"/>
      <c r="G3887" s="20"/>
      <c r="H3887" s="19"/>
      <c r="I3887" s="20"/>
      <c r="J3887" s="19"/>
      <c r="K3887" s="17"/>
      <c r="L3887" s="649"/>
    </row>
    <row r="3888" spans="2:12" ht="15">
      <c r="B3888" s="650"/>
      <c r="C3888" s="20"/>
      <c r="D3888" s="20"/>
      <c r="E3888" s="20"/>
      <c r="F3888" s="20"/>
      <c r="G3888" s="20"/>
      <c r="H3888" s="19"/>
      <c r="I3888" s="20"/>
      <c r="J3888" s="19"/>
      <c r="K3888" s="17"/>
      <c r="L3888" s="645"/>
    </row>
    <row r="3889" spans="2:12" ht="15.75">
      <c r="B3889" s="981" t="s">
        <v>414</v>
      </c>
      <c r="C3889" s="982"/>
      <c r="D3889" s="982"/>
      <c r="E3889" s="982"/>
      <c r="F3889" s="982"/>
      <c r="G3889" s="982"/>
      <c r="H3889" s="982"/>
      <c r="I3889" s="982"/>
      <c r="J3889" s="982"/>
      <c r="K3889" s="982"/>
      <c r="L3889" s="983"/>
    </row>
    <row r="3890" spans="2:12">
      <c r="B3890" s="651"/>
      <c r="L3890" s="652"/>
    </row>
    <row r="3891" spans="2:12" ht="15.6" customHeight="1">
      <c r="B3891" s="638" t="s">
        <v>398</v>
      </c>
      <c r="C3891" s="8">
        <v>4.5</v>
      </c>
      <c r="D3891" s="1008" t="s">
        <v>917</v>
      </c>
      <c r="E3891" s="1009"/>
      <c r="F3891" s="1009"/>
      <c r="G3891" s="1009"/>
      <c r="H3891" s="1009"/>
      <c r="I3891" s="1009"/>
      <c r="J3891" s="1009"/>
      <c r="K3891" s="1009"/>
      <c r="L3891" s="1010"/>
    </row>
    <row r="3892" spans="2:12" ht="15">
      <c r="B3892" s="1005"/>
      <c r="C3892" s="1006"/>
      <c r="D3892" s="1006"/>
      <c r="E3892" s="1006"/>
      <c r="F3892" s="1006"/>
      <c r="G3892" s="1006"/>
      <c r="H3892" s="1006"/>
      <c r="I3892" s="1006"/>
      <c r="J3892" s="1006"/>
      <c r="K3892" s="1006"/>
      <c r="L3892" s="1007"/>
    </row>
    <row r="3893" spans="2:12" ht="47.25">
      <c r="B3893" s="642" t="s">
        <v>399</v>
      </c>
      <c r="C3893" s="8">
        <f>+'PROPUESTA ECONOMICA(Proponente)'!C421</f>
        <v>4.13</v>
      </c>
      <c r="D3893" s="12" t="str">
        <f>+VLOOKUP('MEMORIAS DE CANTIDADES'!C3893,'PROPUESTA ECONOMICA(Proponente)'!$C$379:$H$661,5,FALSE)</f>
        <v>Cámaras de inspección: 80 CM X 80 CM en concreto 3000 psi, (Incluye suministro e instalación).</v>
      </c>
      <c r="E3893" s="13"/>
      <c r="F3893" s="12"/>
      <c r="G3893" s="12"/>
      <c r="H3893" s="12"/>
      <c r="I3893" s="11" t="s">
        <v>400</v>
      </c>
      <c r="J3893" s="12" t="str">
        <f>+VLOOKUP('MEMORIAS DE CANTIDADES'!C3893,'PROPUESTA ECONOMICA(Proponente)'!$C$379:$H$661,6,FALSE)</f>
        <v>Un</v>
      </c>
      <c r="K3893" s="11" t="s">
        <v>401</v>
      </c>
      <c r="L3893" s="643">
        <f>SUM(L3894:L3901)</f>
        <v>12</v>
      </c>
    </row>
    <row r="3894" spans="2:12" ht="15">
      <c r="B3894" s="644"/>
      <c r="C3894" s="16"/>
      <c r="D3894" s="15"/>
      <c r="E3894" s="15"/>
      <c r="F3894" s="15"/>
      <c r="G3894" s="15"/>
      <c r="H3894" s="15"/>
      <c r="I3894" s="15"/>
      <c r="J3894" s="15"/>
      <c r="K3894" s="17"/>
      <c r="L3894" s="645"/>
    </row>
    <row r="3895" spans="2:12" ht="47.25">
      <c r="B3895" s="646" t="s">
        <v>402</v>
      </c>
      <c r="C3895" s="18" t="s">
        <v>403</v>
      </c>
      <c r="D3895" s="18" t="s">
        <v>404</v>
      </c>
      <c r="E3895" s="18" t="s">
        <v>405</v>
      </c>
      <c r="F3895" s="18" t="s">
        <v>406</v>
      </c>
      <c r="G3895" s="18" t="s">
        <v>407</v>
      </c>
      <c r="H3895" s="5" t="s">
        <v>408</v>
      </c>
      <c r="I3895" s="18" t="s">
        <v>409</v>
      </c>
      <c r="J3895" s="5" t="s">
        <v>410</v>
      </c>
      <c r="K3895" s="5" t="s">
        <v>411</v>
      </c>
      <c r="L3895" s="647" t="s">
        <v>412</v>
      </c>
    </row>
    <row r="3896" spans="2:12" ht="15.75">
      <c r="B3896" s="648" t="s">
        <v>461</v>
      </c>
      <c r="C3896" s="19"/>
      <c r="D3896" s="19"/>
      <c r="E3896" s="19"/>
      <c r="F3896" s="19"/>
      <c r="G3896" s="20"/>
      <c r="H3896" s="68"/>
      <c r="I3896" s="17"/>
      <c r="J3896" s="367">
        <v>6</v>
      </c>
      <c r="K3896" s="17"/>
      <c r="L3896" s="649">
        <f>PRODUCT(C3896:K3896)</f>
        <v>6</v>
      </c>
    </row>
    <row r="3897" spans="2:12" ht="15.75">
      <c r="B3897" s="648" t="s">
        <v>462</v>
      </c>
      <c r="C3897" s="20"/>
      <c r="D3897" s="19"/>
      <c r="E3897" s="19"/>
      <c r="F3897" s="19"/>
      <c r="G3897" s="20"/>
      <c r="H3897" s="68"/>
      <c r="I3897" s="17"/>
      <c r="J3897" s="367">
        <v>6</v>
      </c>
      <c r="K3897" s="17"/>
      <c r="L3897" s="649">
        <f t="shared" ref="L3897" si="275">PRODUCT(C3897:K3897)</f>
        <v>6</v>
      </c>
    </row>
    <row r="3898" spans="2:12" ht="15">
      <c r="B3898" s="650"/>
      <c r="C3898" s="20"/>
      <c r="D3898" s="20"/>
      <c r="E3898" s="20"/>
      <c r="F3898" s="20"/>
      <c r="G3898" s="20"/>
      <c r="H3898" s="20"/>
      <c r="I3898" s="20"/>
      <c r="J3898" s="19"/>
      <c r="K3898" s="17"/>
      <c r="L3898" s="649"/>
    </row>
    <row r="3899" spans="2:12" ht="15.75">
      <c r="B3899" s="650"/>
      <c r="C3899" s="20"/>
      <c r="D3899" s="20"/>
      <c r="E3899" s="20"/>
      <c r="F3899" s="20"/>
      <c r="G3899" s="20"/>
      <c r="H3899" s="19"/>
      <c r="I3899" s="20"/>
      <c r="J3899" s="224"/>
      <c r="K3899" s="17"/>
      <c r="L3899" s="649"/>
    </row>
    <row r="3900" spans="2:12" ht="15">
      <c r="B3900" s="650"/>
      <c r="C3900" s="20"/>
      <c r="D3900" s="20"/>
      <c r="E3900" s="20"/>
      <c r="F3900" s="20"/>
      <c r="G3900" s="20"/>
      <c r="H3900" s="19"/>
      <c r="I3900" s="20"/>
      <c r="J3900" s="19"/>
      <c r="K3900" s="17"/>
      <c r="L3900" s="645"/>
    </row>
    <row r="3901" spans="2:12" ht="15.75">
      <c r="B3901" s="981" t="s">
        <v>414</v>
      </c>
      <c r="C3901" s="982"/>
      <c r="D3901" s="982"/>
      <c r="E3901" s="982"/>
      <c r="F3901" s="982"/>
      <c r="G3901" s="982"/>
      <c r="H3901" s="982"/>
      <c r="I3901" s="982"/>
      <c r="J3901" s="982"/>
      <c r="K3901" s="982"/>
      <c r="L3901" s="983"/>
    </row>
    <row r="3902" spans="2:12">
      <c r="B3902" s="651"/>
      <c r="L3902" s="652"/>
    </row>
    <row r="3903" spans="2:12">
      <c r="B3903" s="651"/>
      <c r="L3903" s="652"/>
    </row>
    <row r="3904" spans="2:12" ht="15.6" customHeight="1">
      <c r="B3904" s="638" t="s">
        <v>398</v>
      </c>
      <c r="C3904" s="8">
        <v>4.5</v>
      </c>
      <c r="D3904" s="1008" t="s">
        <v>917</v>
      </c>
      <c r="E3904" s="1009"/>
      <c r="F3904" s="1009"/>
      <c r="G3904" s="1009"/>
      <c r="H3904" s="1009"/>
      <c r="I3904" s="1009"/>
      <c r="J3904" s="1009"/>
      <c r="K3904" s="1009"/>
      <c r="L3904" s="1010"/>
    </row>
    <row r="3905" spans="2:12" ht="15">
      <c r="B3905" s="1005"/>
      <c r="C3905" s="1006"/>
      <c r="D3905" s="1006"/>
      <c r="E3905" s="1006"/>
      <c r="F3905" s="1006"/>
      <c r="G3905" s="1006"/>
      <c r="H3905" s="1006"/>
      <c r="I3905" s="1006"/>
      <c r="J3905" s="1006"/>
      <c r="K3905" s="1006"/>
      <c r="L3905" s="1007"/>
    </row>
    <row r="3906" spans="2:12" ht="31.5">
      <c r="B3906" s="642" t="s">
        <v>399</v>
      </c>
      <c r="C3906" s="8">
        <f>+'PROPUESTA ECONOMICA(Proponente)'!C422</f>
        <v>4.1399999999999997</v>
      </c>
      <c r="D3906" s="12" t="str">
        <f>+VLOOKUP('MEMORIAS DE CANTIDADES'!C3906,'PROPUESTA ECONOMICA(Proponente)'!$C$379:$H$661,5,FALSE)</f>
        <v xml:space="preserve">Suministro e instalación de sistema de drenaje  ACODRAINE N200 20,0 H36 </v>
      </c>
      <c r="E3906" s="13"/>
      <c r="F3906" s="12"/>
      <c r="G3906" s="12"/>
      <c r="H3906" s="12"/>
      <c r="I3906" s="11" t="s">
        <v>400</v>
      </c>
      <c r="J3906" s="12" t="str">
        <f>+VLOOKUP('MEMORIAS DE CANTIDADES'!C3906,'PROPUESTA ECONOMICA(Proponente)'!$C$379:$H$661,6,FALSE)</f>
        <v>ml</v>
      </c>
      <c r="K3906" s="11" t="s">
        <v>401</v>
      </c>
      <c r="L3906" s="643">
        <f>SUM(L3907:L3914)</f>
        <v>0</v>
      </c>
    </row>
    <row r="3907" spans="2:12" ht="15">
      <c r="B3907" s="644"/>
      <c r="C3907" s="16"/>
      <c r="D3907" s="15"/>
      <c r="E3907" s="15"/>
      <c r="F3907" s="15"/>
      <c r="G3907" s="15"/>
      <c r="H3907" s="15"/>
      <c r="I3907" s="15"/>
      <c r="J3907" s="15"/>
      <c r="K3907" s="17"/>
      <c r="L3907" s="645"/>
    </row>
    <row r="3908" spans="2:12" ht="47.25">
      <c r="B3908" s="646" t="s">
        <v>402</v>
      </c>
      <c r="C3908" s="18" t="s">
        <v>403</v>
      </c>
      <c r="D3908" s="18" t="s">
        <v>404</v>
      </c>
      <c r="E3908" s="18" t="s">
        <v>405</v>
      </c>
      <c r="F3908" s="18" t="s">
        <v>406</v>
      </c>
      <c r="G3908" s="18" t="s">
        <v>407</v>
      </c>
      <c r="H3908" s="5" t="s">
        <v>408</v>
      </c>
      <c r="I3908" s="18" t="s">
        <v>409</v>
      </c>
      <c r="J3908" s="5" t="s">
        <v>410</v>
      </c>
      <c r="K3908" s="5" t="s">
        <v>411</v>
      </c>
      <c r="L3908" s="647" t="s">
        <v>412</v>
      </c>
    </row>
    <row r="3909" spans="2:12" ht="15">
      <c r="B3909" s="648" t="s">
        <v>461</v>
      </c>
      <c r="C3909" s="19"/>
      <c r="D3909" s="19"/>
      <c r="E3909" s="19"/>
      <c r="F3909" s="19"/>
      <c r="G3909" s="20"/>
      <c r="H3909" s="68"/>
      <c r="I3909" s="17"/>
      <c r="J3909" s="28"/>
      <c r="K3909" s="17"/>
      <c r="L3909" s="649">
        <f>PRODUCT(C3909:K3909)</f>
        <v>0</v>
      </c>
    </row>
    <row r="3910" spans="2:12" ht="15">
      <c r="B3910" s="648" t="s">
        <v>462</v>
      </c>
      <c r="C3910" s="20"/>
      <c r="D3910" s="19"/>
      <c r="E3910" s="19"/>
      <c r="F3910" s="19"/>
      <c r="G3910" s="20"/>
      <c r="H3910" s="68"/>
      <c r="I3910" s="17"/>
      <c r="J3910" s="28"/>
      <c r="K3910" s="17"/>
      <c r="L3910" s="649">
        <f t="shared" ref="L3910" si="276">PRODUCT(C3910:K3910)</f>
        <v>0</v>
      </c>
    </row>
    <row r="3911" spans="2:12" ht="15">
      <c r="B3911" s="650"/>
      <c r="C3911" s="20"/>
      <c r="D3911" s="20"/>
      <c r="E3911" s="20"/>
      <c r="F3911" s="20"/>
      <c r="G3911" s="20"/>
      <c r="H3911" s="20"/>
      <c r="I3911" s="20"/>
      <c r="J3911" s="19"/>
      <c r="K3911" s="17"/>
      <c r="L3911" s="649"/>
    </row>
    <row r="3912" spans="2:12" ht="15">
      <c r="B3912" s="650"/>
      <c r="C3912" s="20"/>
      <c r="D3912" s="20"/>
      <c r="E3912" s="20"/>
      <c r="F3912" s="20"/>
      <c r="G3912" s="20"/>
      <c r="H3912" s="19"/>
      <c r="I3912" s="20"/>
      <c r="J3912" s="19"/>
      <c r="K3912" s="17"/>
      <c r="L3912" s="649"/>
    </row>
    <row r="3913" spans="2:12" ht="15">
      <c r="B3913" s="650"/>
      <c r="C3913" s="20"/>
      <c r="D3913" s="20"/>
      <c r="E3913" s="20"/>
      <c r="F3913" s="20"/>
      <c r="G3913" s="20"/>
      <c r="H3913" s="19"/>
      <c r="I3913" s="20"/>
      <c r="J3913" s="19"/>
      <c r="K3913" s="17"/>
      <c r="L3913" s="645"/>
    </row>
    <row r="3914" spans="2:12" ht="15.75">
      <c r="B3914" s="981" t="s">
        <v>414</v>
      </c>
      <c r="C3914" s="982"/>
      <c r="D3914" s="982"/>
      <c r="E3914" s="982"/>
      <c r="F3914" s="982"/>
      <c r="G3914" s="982"/>
      <c r="H3914" s="982"/>
      <c r="I3914" s="982"/>
      <c r="J3914" s="982"/>
      <c r="K3914" s="982"/>
      <c r="L3914" s="983"/>
    </row>
    <row r="3915" spans="2:12" ht="15.75">
      <c r="B3915" s="756"/>
      <c r="C3915" s="757"/>
      <c r="D3915" s="757"/>
      <c r="E3915" s="757"/>
      <c r="F3915" s="757"/>
      <c r="G3915" s="757"/>
      <c r="H3915" s="757"/>
      <c r="I3915" s="757"/>
      <c r="J3915" s="757"/>
      <c r="K3915" s="757"/>
      <c r="L3915" s="758"/>
    </row>
    <row r="3916" spans="2:12" ht="15.6" customHeight="1">
      <c r="B3916" s="638" t="s">
        <v>398</v>
      </c>
      <c r="C3916" s="8">
        <v>5</v>
      </c>
      <c r="D3916" s="1008" t="s">
        <v>1029</v>
      </c>
      <c r="E3916" s="1009"/>
      <c r="F3916" s="1009"/>
      <c r="G3916" s="1009"/>
      <c r="H3916" s="1009"/>
      <c r="I3916" s="1009"/>
      <c r="J3916" s="1009"/>
      <c r="K3916" s="1009"/>
      <c r="L3916" s="1010"/>
    </row>
    <row r="3917" spans="2:12" ht="15">
      <c r="B3917" s="1005"/>
      <c r="C3917" s="1006"/>
      <c r="D3917" s="1006"/>
      <c r="E3917" s="1006"/>
      <c r="F3917" s="1006"/>
      <c r="G3917" s="1006"/>
      <c r="H3917" s="1006"/>
      <c r="I3917" s="1006"/>
      <c r="J3917" s="1006"/>
      <c r="K3917" s="1006"/>
      <c r="L3917" s="1007"/>
    </row>
    <row r="3918" spans="2:12" ht="15.6" customHeight="1">
      <c r="B3918" s="642" t="s">
        <v>399</v>
      </c>
      <c r="C3918" s="25">
        <f>+'PROPUESTA ECONOMICA(Proponente)'!C425</f>
        <v>5.0999999999999996</v>
      </c>
      <c r="D3918" s="12" t="str">
        <f>+VLOOKUP('MEMORIAS DE CANTIDADES'!C3918,'PROPUESTA ECONOMICA(Proponente)'!$C$379:$H$661,5,FALSE)</f>
        <v>Suministro y Levante en Block No 6 hueco, con mortero pega 1:4</v>
      </c>
      <c r="E3918" s="13"/>
      <c r="F3918" s="12"/>
      <c r="G3918" s="12"/>
      <c r="H3918" s="12"/>
      <c r="I3918" s="11" t="s">
        <v>400</v>
      </c>
      <c r="J3918" s="12" t="str">
        <f>+VLOOKUP('MEMORIAS DE CANTIDADES'!C3918,'PROPUESTA ECONOMICA(Proponente)'!$C$379:$H$661,6,FALSE)</f>
        <v>m2</v>
      </c>
      <c r="K3918" s="11" t="s">
        <v>401</v>
      </c>
      <c r="L3918" s="643">
        <f>SUM(L3919:L3927)</f>
        <v>341.91999999999996</v>
      </c>
    </row>
    <row r="3919" spans="2:12" ht="15">
      <c r="B3919" s="644"/>
      <c r="C3919" s="16"/>
      <c r="D3919" s="15"/>
      <c r="E3919" s="15"/>
      <c r="F3919" s="15"/>
      <c r="G3919" s="15"/>
      <c r="H3919" s="15"/>
      <c r="I3919" s="15"/>
      <c r="J3919" s="15"/>
      <c r="K3919" s="17"/>
      <c r="L3919" s="645"/>
    </row>
    <row r="3920" spans="2:12" ht="47.25">
      <c r="B3920" s="646" t="s">
        <v>402</v>
      </c>
      <c r="C3920" s="18" t="s">
        <v>403</v>
      </c>
      <c r="D3920" s="18" t="s">
        <v>404</v>
      </c>
      <c r="E3920" s="18" t="s">
        <v>405</v>
      </c>
      <c r="F3920" s="18" t="s">
        <v>406</v>
      </c>
      <c r="G3920" s="18" t="s">
        <v>407</v>
      </c>
      <c r="H3920" s="5" t="s">
        <v>408</v>
      </c>
      <c r="I3920" s="18" t="s">
        <v>409</v>
      </c>
      <c r="J3920" s="5" t="s">
        <v>410</v>
      </c>
      <c r="K3920" s="5" t="s">
        <v>411</v>
      </c>
      <c r="L3920" s="647" t="s">
        <v>412</v>
      </c>
    </row>
    <row r="3921" spans="2:12" ht="15">
      <c r="B3921" s="648" t="s">
        <v>523</v>
      </c>
      <c r="C3921" s="19">
        <v>40</v>
      </c>
      <c r="D3921" s="19"/>
      <c r="E3921" s="19"/>
      <c r="F3921" s="19"/>
      <c r="G3921" s="20"/>
      <c r="H3921" s="68"/>
      <c r="I3921" s="17">
        <v>2</v>
      </c>
      <c r="J3921" s="28"/>
      <c r="K3921" s="17"/>
      <c r="L3921" s="649">
        <f>PRODUCT(C3921:K3921)</f>
        <v>80</v>
      </c>
    </row>
    <row r="3922" spans="2:12" ht="15">
      <c r="B3922" s="648" t="s">
        <v>524</v>
      </c>
      <c r="C3922" s="19"/>
      <c r="D3922" s="19">
        <v>0.2</v>
      </c>
      <c r="E3922" s="19">
        <v>57.6</v>
      </c>
      <c r="F3922" s="19"/>
      <c r="G3922" s="20"/>
      <c r="H3922" s="68"/>
      <c r="I3922" s="17"/>
      <c r="J3922" s="28"/>
      <c r="K3922" s="17"/>
      <c r="L3922" s="649">
        <f>PRODUCT(C3922:K3922)</f>
        <v>11.520000000000001</v>
      </c>
    </row>
    <row r="3923" spans="2:12" ht="15">
      <c r="B3923" s="648"/>
      <c r="C3923" s="20"/>
      <c r="D3923" s="19"/>
      <c r="E3923" s="19"/>
      <c r="F3923" s="19"/>
      <c r="G3923" s="20"/>
      <c r="H3923" s="68"/>
      <c r="I3923" s="17"/>
      <c r="J3923" s="19"/>
      <c r="K3923" s="17"/>
      <c r="L3923" s="649"/>
    </row>
    <row r="3924" spans="2:12" ht="15">
      <c r="B3924" s="648" t="s">
        <v>525</v>
      </c>
      <c r="C3924" s="20">
        <v>30</v>
      </c>
      <c r="D3924" s="20"/>
      <c r="E3924" s="20"/>
      <c r="F3924" s="20"/>
      <c r="G3924" s="20"/>
      <c r="H3924" s="20"/>
      <c r="I3924" s="20">
        <v>2</v>
      </c>
      <c r="J3924" s="20">
        <v>2</v>
      </c>
      <c r="K3924" s="17"/>
      <c r="L3924" s="649">
        <f t="shared" ref="L3924:L3925" si="277">PRODUCT(C3924:K3924)</f>
        <v>120</v>
      </c>
    </row>
    <row r="3925" spans="2:12" ht="15">
      <c r="B3925" s="650" t="s">
        <v>524</v>
      </c>
      <c r="C3925" s="20"/>
      <c r="D3925" s="20">
        <v>2</v>
      </c>
      <c r="E3925" s="20">
        <v>32.6</v>
      </c>
      <c r="F3925" s="20"/>
      <c r="G3925" s="20"/>
      <c r="H3925" s="19"/>
      <c r="I3925" s="20"/>
      <c r="J3925" s="20">
        <v>2</v>
      </c>
      <c r="K3925" s="17"/>
      <c r="L3925" s="649">
        <f t="shared" si="277"/>
        <v>130.4</v>
      </c>
    </row>
    <row r="3926" spans="2:12" ht="15">
      <c r="B3926" s="650"/>
      <c r="C3926" s="20"/>
      <c r="D3926" s="20"/>
      <c r="E3926" s="20"/>
      <c r="F3926" s="20"/>
      <c r="G3926" s="20"/>
      <c r="H3926" s="19"/>
      <c r="I3926" s="20"/>
      <c r="J3926" s="19"/>
      <c r="K3926" s="17"/>
      <c r="L3926" s="645"/>
    </row>
    <row r="3927" spans="2:12" ht="15.75">
      <c r="B3927" s="981" t="s">
        <v>414</v>
      </c>
      <c r="C3927" s="982"/>
      <c r="D3927" s="982"/>
      <c r="E3927" s="982"/>
      <c r="F3927" s="982"/>
      <c r="G3927" s="982"/>
      <c r="H3927" s="982"/>
      <c r="I3927" s="982"/>
      <c r="J3927" s="982"/>
      <c r="K3927" s="982"/>
      <c r="L3927" s="983"/>
    </row>
    <row r="3928" spans="2:12" ht="15.75">
      <c r="B3928" s="756"/>
      <c r="C3928" s="757"/>
      <c r="D3928" s="757"/>
      <c r="E3928" s="757"/>
      <c r="F3928" s="757"/>
      <c r="G3928" s="757"/>
      <c r="H3928" s="757"/>
      <c r="I3928" s="757"/>
      <c r="J3928" s="757"/>
      <c r="K3928" s="757"/>
      <c r="L3928" s="758"/>
    </row>
    <row r="3929" spans="2:12" ht="15.6" customHeight="1">
      <c r="B3929" s="638" t="s">
        <v>398</v>
      </c>
      <c r="C3929" s="8">
        <v>5</v>
      </c>
      <c r="D3929" s="1008" t="s">
        <v>1029</v>
      </c>
      <c r="E3929" s="1009"/>
      <c r="F3929" s="1009"/>
      <c r="G3929" s="1009"/>
      <c r="H3929" s="1009"/>
      <c r="I3929" s="1009"/>
      <c r="J3929" s="1009"/>
      <c r="K3929" s="1009"/>
      <c r="L3929" s="1010"/>
    </row>
    <row r="3930" spans="2:12" ht="15">
      <c r="B3930" s="1005"/>
      <c r="C3930" s="1006"/>
      <c r="D3930" s="1006"/>
      <c r="E3930" s="1006"/>
      <c r="F3930" s="1006"/>
      <c r="G3930" s="1006"/>
      <c r="H3930" s="1006"/>
      <c r="I3930" s="1006"/>
      <c r="J3930" s="1006"/>
      <c r="K3930" s="1006"/>
      <c r="L3930" s="1007"/>
    </row>
    <row r="3931" spans="2:12" ht="31.5">
      <c r="B3931" s="733" t="s">
        <v>399</v>
      </c>
      <c r="C3931" s="25">
        <f>+'PROPUESTA ECONOMICA(Proponente)'!C426</f>
        <v>5.2</v>
      </c>
      <c r="D3931" s="12" t="str">
        <f>+VLOOKUP('MEMORIAS DE CANTIDADES'!C3931,'PROPUESTA ECONOMICA(Proponente)'!$C$379:$H$661,5,FALSE)</f>
        <v>Suministro y Levante en Block No 4 hueco, con mortero pega 1:4</v>
      </c>
      <c r="E3931" s="13"/>
      <c r="F3931" s="12"/>
      <c r="G3931" s="12"/>
      <c r="H3931" s="12"/>
      <c r="I3931" s="11" t="s">
        <v>400</v>
      </c>
      <c r="J3931" s="12" t="str">
        <f>+VLOOKUP('MEMORIAS DE CANTIDADES'!C3931,'PROPUESTA ECONOMICA(Proponente)'!$C$379:$H$661,6,FALSE)</f>
        <v>m2</v>
      </c>
      <c r="K3931" s="11" t="s">
        <v>401</v>
      </c>
      <c r="L3931" s="643">
        <f>SUM(L3932:L3958)</f>
        <v>1495.1000000000001</v>
      </c>
    </row>
    <row r="3932" spans="2:12" ht="15">
      <c r="B3932" s="644"/>
      <c r="C3932" s="16"/>
      <c r="D3932" s="15"/>
      <c r="E3932" s="15"/>
      <c r="F3932" s="15"/>
      <c r="G3932" s="15"/>
      <c r="H3932" s="15"/>
      <c r="I3932" s="15"/>
      <c r="J3932" s="15"/>
      <c r="K3932" s="17"/>
      <c r="L3932" s="645"/>
    </row>
    <row r="3933" spans="2:12" ht="47.25">
      <c r="B3933" s="646" t="s">
        <v>402</v>
      </c>
      <c r="C3933" s="18" t="s">
        <v>403</v>
      </c>
      <c r="D3933" s="18" t="s">
        <v>404</v>
      </c>
      <c r="E3933" s="18" t="s">
        <v>405</v>
      </c>
      <c r="F3933" s="18" t="s">
        <v>406</v>
      </c>
      <c r="G3933" s="18" t="s">
        <v>407</v>
      </c>
      <c r="H3933" s="5" t="s">
        <v>408</v>
      </c>
      <c r="I3933" s="18" t="s">
        <v>409</v>
      </c>
      <c r="J3933" s="5" t="s">
        <v>410</v>
      </c>
      <c r="K3933" s="5" t="s">
        <v>411</v>
      </c>
      <c r="L3933" s="647" t="s">
        <v>412</v>
      </c>
    </row>
    <row r="3934" spans="2:12" ht="15">
      <c r="B3934" s="650"/>
      <c r="C3934" s="20"/>
      <c r="D3934" s="20"/>
      <c r="E3934" s="20"/>
      <c r="F3934" s="20"/>
      <c r="G3934" s="20"/>
      <c r="H3934" s="20"/>
      <c r="I3934" s="20"/>
      <c r="J3934" s="19"/>
      <c r="K3934" s="17"/>
      <c r="L3934" s="649"/>
    </row>
    <row r="3935" spans="2:12" ht="15.75">
      <c r="B3935" s="760" t="s">
        <v>438</v>
      </c>
      <c r="C3935" s="20"/>
      <c r="D3935" s="20"/>
      <c r="E3935" s="20"/>
      <c r="F3935" s="20"/>
      <c r="G3935" s="20"/>
      <c r="H3935" s="20"/>
      <c r="I3935" s="20"/>
      <c r="J3935" s="19"/>
      <c r="K3935" s="17"/>
      <c r="L3935" s="649"/>
    </row>
    <row r="3936" spans="2:12" ht="15">
      <c r="B3936" s="650" t="s">
        <v>524</v>
      </c>
      <c r="C3936" s="20"/>
      <c r="D3936" s="20">
        <v>2.8</v>
      </c>
      <c r="E3936" s="20"/>
      <c r="F3936" s="20">
        <v>18.25</v>
      </c>
      <c r="G3936" s="20"/>
      <c r="H3936" s="20"/>
      <c r="I3936" s="20"/>
      <c r="J3936" s="19"/>
      <c r="K3936" s="17"/>
      <c r="L3936" s="649">
        <f t="shared" ref="L3936:L3939" si="278">PRODUCT(C3936:K3936)</f>
        <v>51.099999999999994</v>
      </c>
    </row>
    <row r="3937" spans="2:12" ht="15">
      <c r="B3937" s="650" t="s">
        <v>527</v>
      </c>
      <c r="C3937" s="20"/>
      <c r="D3937" s="20">
        <v>2.8</v>
      </c>
      <c r="E3937" s="20"/>
      <c r="F3937" s="20">
        <v>4.8</v>
      </c>
      <c r="G3937" s="20"/>
      <c r="H3937" s="20"/>
      <c r="I3937" s="20"/>
      <c r="J3937" s="19"/>
      <c r="K3937" s="17"/>
      <c r="L3937" s="649">
        <f t="shared" si="278"/>
        <v>13.44</v>
      </c>
    </row>
    <row r="3938" spans="2:12" ht="15">
      <c r="B3938" s="650" t="s">
        <v>526</v>
      </c>
      <c r="C3938" s="20"/>
      <c r="D3938" s="20">
        <v>-4</v>
      </c>
      <c r="E3938" s="20"/>
      <c r="F3938" s="20"/>
      <c r="G3938" s="20"/>
      <c r="H3938" s="20"/>
      <c r="I3938" s="20"/>
      <c r="J3938" s="19"/>
      <c r="K3938" s="17"/>
      <c r="L3938" s="649">
        <f t="shared" si="278"/>
        <v>-4</v>
      </c>
    </row>
    <row r="3939" spans="2:12" ht="15">
      <c r="B3939" s="650" t="s">
        <v>526</v>
      </c>
      <c r="C3939" s="20"/>
      <c r="D3939" s="19">
        <v>-1.3</v>
      </c>
      <c r="E3939" s="20">
        <v>2.4</v>
      </c>
      <c r="F3939" s="20"/>
      <c r="G3939" s="19"/>
      <c r="H3939" s="20"/>
      <c r="I3939" s="19">
        <v>2</v>
      </c>
      <c r="J3939" s="19"/>
      <c r="K3939" s="17"/>
      <c r="L3939" s="649">
        <f t="shared" si="278"/>
        <v>-6.24</v>
      </c>
    </row>
    <row r="3940" spans="2:12" ht="15">
      <c r="B3940" s="650"/>
      <c r="C3940" s="20"/>
      <c r="D3940" s="20"/>
      <c r="E3940" s="20"/>
      <c r="F3940" s="20"/>
      <c r="G3940" s="20"/>
      <c r="H3940" s="20"/>
      <c r="I3940" s="20"/>
      <c r="J3940" s="19"/>
      <c r="K3940" s="17"/>
      <c r="L3940" s="649"/>
    </row>
    <row r="3941" spans="2:12" ht="15.75">
      <c r="B3941" s="760" t="s">
        <v>464</v>
      </c>
      <c r="C3941" s="20"/>
      <c r="D3941" s="20"/>
      <c r="E3941" s="20"/>
      <c r="F3941" s="20"/>
      <c r="G3941" s="20"/>
      <c r="H3941" s="20"/>
      <c r="I3941" s="20"/>
      <c r="J3941" s="19"/>
      <c r="K3941" s="17"/>
      <c r="L3941" s="649"/>
    </row>
    <row r="3942" spans="2:12" ht="15">
      <c r="B3942" s="650" t="s">
        <v>524</v>
      </c>
      <c r="C3942" s="20"/>
      <c r="D3942" s="20">
        <v>2.8</v>
      </c>
      <c r="E3942" s="20"/>
      <c r="F3942" s="20">
        <v>13.72</v>
      </c>
      <c r="G3942" s="20"/>
      <c r="H3942" s="20"/>
      <c r="I3942" s="20"/>
      <c r="J3942" s="19">
        <v>2</v>
      </c>
      <c r="K3942" s="17"/>
      <c r="L3942" s="649">
        <f t="shared" ref="L3942:L3957" si="279">PRODUCT(C3942:K3942)</f>
        <v>76.831999999999994</v>
      </c>
    </row>
    <row r="3943" spans="2:12" ht="15">
      <c r="B3943" s="650" t="s">
        <v>527</v>
      </c>
      <c r="C3943" s="20"/>
      <c r="D3943" s="20">
        <v>2.8</v>
      </c>
      <c r="E3943" s="20"/>
      <c r="F3943" s="20">
        <v>4.4000000000000004</v>
      </c>
      <c r="G3943" s="20"/>
      <c r="H3943" s="20"/>
      <c r="I3943" s="20"/>
      <c r="J3943" s="19">
        <v>2</v>
      </c>
      <c r="K3943" s="17"/>
      <c r="L3943" s="649">
        <f t="shared" si="279"/>
        <v>24.64</v>
      </c>
    </row>
    <row r="3944" spans="2:12" ht="15">
      <c r="B3944" s="650" t="s">
        <v>526</v>
      </c>
      <c r="C3944" s="20"/>
      <c r="D3944" s="20">
        <v>-4</v>
      </c>
      <c r="E3944" s="20"/>
      <c r="F3944" s="20"/>
      <c r="G3944" s="20"/>
      <c r="H3944" s="20"/>
      <c r="I3944" s="20"/>
      <c r="J3944" s="19">
        <v>2</v>
      </c>
      <c r="K3944" s="17"/>
      <c r="L3944" s="649">
        <f t="shared" si="279"/>
        <v>-8</v>
      </c>
    </row>
    <row r="3945" spans="2:12" ht="15">
      <c r="B3945" s="650" t="s">
        <v>526</v>
      </c>
      <c r="C3945" s="20"/>
      <c r="D3945" s="19">
        <v>-1.3</v>
      </c>
      <c r="E3945" s="20">
        <v>2.4</v>
      </c>
      <c r="F3945" s="20"/>
      <c r="G3945" s="19"/>
      <c r="H3945" s="20"/>
      <c r="I3945" s="19">
        <v>2</v>
      </c>
      <c r="J3945" s="19">
        <v>2</v>
      </c>
      <c r="K3945" s="17"/>
      <c r="L3945" s="649">
        <f t="shared" si="279"/>
        <v>-12.48</v>
      </c>
    </row>
    <row r="3946" spans="2:12" ht="15">
      <c r="B3946" s="650"/>
      <c r="C3946" s="20"/>
      <c r="D3946" s="20"/>
      <c r="E3946" s="20"/>
      <c r="F3946" s="20"/>
      <c r="G3946" s="20"/>
      <c r="H3946" s="20"/>
      <c r="I3946" s="20"/>
      <c r="J3946" s="19"/>
      <c r="K3946" s="17"/>
      <c r="L3946" s="649"/>
    </row>
    <row r="3947" spans="2:12" ht="15">
      <c r="B3947" s="650" t="s">
        <v>524</v>
      </c>
      <c r="C3947" s="20"/>
      <c r="D3947" s="20">
        <v>0.2</v>
      </c>
      <c r="E3947" s="20"/>
      <c r="F3947" s="20">
        <f>+F3942</f>
        <v>13.72</v>
      </c>
      <c r="G3947" s="20"/>
      <c r="H3947" s="20"/>
      <c r="I3947" s="20">
        <v>2</v>
      </c>
      <c r="J3947" s="19"/>
      <c r="K3947" s="17"/>
      <c r="L3947" s="649">
        <f t="shared" si="279"/>
        <v>5.4880000000000004</v>
      </c>
    </row>
    <row r="3948" spans="2:12" ht="15">
      <c r="B3948" s="650"/>
      <c r="C3948" s="20"/>
      <c r="D3948" s="20"/>
      <c r="E3948" s="20"/>
      <c r="F3948" s="20"/>
      <c r="G3948" s="20"/>
      <c r="H3948" s="20"/>
      <c r="I3948" s="20"/>
      <c r="J3948" s="19"/>
      <c r="K3948" s="17"/>
      <c r="L3948" s="649"/>
    </row>
    <row r="3949" spans="2:12" ht="15">
      <c r="B3949" s="648" t="s">
        <v>528</v>
      </c>
      <c r="C3949" s="20"/>
      <c r="D3949" s="20"/>
      <c r="E3949" s="19">
        <v>3</v>
      </c>
      <c r="F3949" s="20">
        <v>14</v>
      </c>
      <c r="G3949" s="20"/>
      <c r="H3949" s="19"/>
      <c r="I3949" s="20"/>
      <c r="J3949" s="19">
        <v>2</v>
      </c>
      <c r="K3949" s="17"/>
      <c r="L3949" s="649">
        <f t="shared" si="279"/>
        <v>84</v>
      </c>
    </row>
    <row r="3950" spans="2:12" ht="15">
      <c r="B3950" s="648" t="s">
        <v>529</v>
      </c>
      <c r="C3950" s="20"/>
      <c r="D3950" s="20"/>
      <c r="E3950" s="19">
        <v>3</v>
      </c>
      <c r="F3950" s="20">
        <v>14</v>
      </c>
      <c r="G3950" s="20"/>
      <c r="H3950" s="19"/>
      <c r="I3950" s="20"/>
      <c r="J3950" s="19"/>
      <c r="K3950" s="17"/>
      <c r="L3950" s="649">
        <f t="shared" si="279"/>
        <v>42</v>
      </c>
    </row>
    <row r="3951" spans="2:12" ht="15">
      <c r="B3951" s="648" t="s">
        <v>530</v>
      </c>
      <c r="C3951" s="20"/>
      <c r="D3951" s="20"/>
      <c r="E3951" s="19">
        <v>3</v>
      </c>
      <c r="F3951" s="20">
        <v>14</v>
      </c>
      <c r="G3951" s="20"/>
      <c r="H3951" s="19"/>
      <c r="I3951" s="20"/>
      <c r="J3951" s="19"/>
      <c r="K3951" s="17"/>
      <c r="L3951" s="649">
        <f t="shared" si="279"/>
        <v>42</v>
      </c>
    </row>
    <row r="3952" spans="2:12" ht="15">
      <c r="B3952" s="648" t="s">
        <v>526</v>
      </c>
      <c r="C3952" s="20">
        <v>-6</v>
      </c>
      <c r="D3952" s="20"/>
      <c r="E3952" s="19"/>
      <c r="F3952" s="20"/>
      <c r="G3952" s="20"/>
      <c r="H3952" s="19"/>
      <c r="I3952" s="20"/>
      <c r="J3952" s="19"/>
      <c r="K3952" s="17"/>
      <c r="L3952" s="649">
        <f t="shared" si="279"/>
        <v>-6</v>
      </c>
    </row>
    <row r="3953" spans="2:12" ht="15">
      <c r="B3953" s="650"/>
      <c r="C3953" s="20"/>
      <c r="D3953" s="20"/>
      <c r="E3953" s="20"/>
      <c r="F3953" s="20"/>
      <c r="G3953" s="20"/>
      <c r="H3953" s="20"/>
      <c r="I3953" s="20"/>
      <c r="J3953" s="19"/>
      <c r="K3953" s="17"/>
      <c r="L3953" s="649"/>
    </row>
    <row r="3954" spans="2:12" ht="15">
      <c r="B3954" s="650" t="s">
        <v>909</v>
      </c>
      <c r="C3954" s="20"/>
      <c r="D3954" s="20"/>
      <c r="E3954" s="20">
        <v>3.2</v>
      </c>
      <c r="F3954" s="20">
        <v>33.200000000000003</v>
      </c>
      <c r="G3954" s="20"/>
      <c r="H3954" s="20"/>
      <c r="I3954" s="20"/>
      <c r="J3954" s="19">
        <v>2</v>
      </c>
      <c r="K3954" s="17"/>
      <c r="L3954" s="649">
        <f t="shared" si="279"/>
        <v>212.48000000000002</v>
      </c>
    </row>
    <row r="3955" spans="2:12" ht="15">
      <c r="B3955" s="650" t="s">
        <v>910</v>
      </c>
      <c r="C3955" s="20"/>
      <c r="D3955" s="20"/>
      <c r="E3955" s="20">
        <v>3.2</v>
      </c>
      <c r="F3955" s="20">
        <v>33.5</v>
      </c>
      <c r="G3955" s="20"/>
      <c r="H3955" s="20"/>
      <c r="I3955" s="20"/>
      <c r="J3955" s="19">
        <v>4</v>
      </c>
      <c r="K3955" s="17"/>
      <c r="L3955" s="649">
        <f t="shared" si="279"/>
        <v>428.8</v>
      </c>
    </row>
    <row r="3956" spans="2:12" ht="15">
      <c r="B3956" s="650" t="s">
        <v>911</v>
      </c>
      <c r="C3956" s="20"/>
      <c r="D3956" s="20"/>
      <c r="E3956" s="20">
        <v>3.2</v>
      </c>
      <c r="F3956" s="20">
        <v>31.55</v>
      </c>
      <c r="G3956" s="20"/>
      <c r="H3956" s="20"/>
      <c r="I3956" s="20"/>
      <c r="J3956" s="19">
        <v>4</v>
      </c>
      <c r="K3956" s="17"/>
      <c r="L3956" s="649">
        <f t="shared" si="279"/>
        <v>403.84000000000003</v>
      </c>
    </row>
    <row r="3957" spans="2:12" ht="15">
      <c r="B3957" s="650" t="s">
        <v>912</v>
      </c>
      <c r="C3957" s="20"/>
      <c r="D3957" s="20"/>
      <c r="E3957" s="20">
        <v>3.2</v>
      </c>
      <c r="F3957" s="20">
        <v>23</v>
      </c>
      <c r="G3957" s="20"/>
      <c r="H3957" s="20"/>
      <c r="I3957" s="20"/>
      <c r="J3957" s="19">
        <v>2</v>
      </c>
      <c r="K3957" s="17"/>
      <c r="L3957" s="649">
        <f t="shared" si="279"/>
        <v>147.20000000000002</v>
      </c>
    </row>
    <row r="3958" spans="2:12" ht="15">
      <c r="B3958" s="650"/>
      <c r="C3958" s="20"/>
      <c r="D3958" s="20"/>
      <c r="E3958" s="20"/>
      <c r="F3958" s="20"/>
      <c r="G3958" s="20"/>
      <c r="H3958" s="20"/>
      <c r="I3958" s="20"/>
      <c r="J3958" s="19"/>
      <c r="K3958" s="17"/>
      <c r="L3958" s="649"/>
    </row>
    <row r="3959" spans="2:12" ht="15.75">
      <c r="B3959" s="756"/>
      <c r="C3959" s="757"/>
      <c r="D3959" s="757"/>
      <c r="E3959" s="757"/>
      <c r="F3959" s="757"/>
      <c r="G3959" s="757"/>
      <c r="H3959" s="757"/>
      <c r="I3959" s="757"/>
      <c r="J3959" s="757"/>
      <c r="K3959" s="757"/>
      <c r="L3959" s="758"/>
    </row>
    <row r="3960" spans="2:12" ht="15.6" customHeight="1">
      <c r="B3960" s="638" t="s">
        <v>398</v>
      </c>
      <c r="C3960" s="8">
        <v>5</v>
      </c>
      <c r="D3960" s="1008" t="s">
        <v>1029</v>
      </c>
      <c r="E3960" s="1009"/>
      <c r="F3960" s="1009"/>
      <c r="G3960" s="1009"/>
      <c r="H3960" s="1009"/>
      <c r="I3960" s="1009"/>
      <c r="J3960" s="1009"/>
      <c r="K3960" s="1009"/>
      <c r="L3960" s="1010"/>
    </row>
    <row r="3961" spans="2:12" ht="15">
      <c r="B3961" s="1005"/>
      <c r="C3961" s="1006"/>
      <c r="D3961" s="1006"/>
      <c r="E3961" s="1006"/>
      <c r="F3961" s="1006"/>
      <c r="G3961" s="1006"/>
      <c r="H3961" s="1006"/>
      <c r="I3961" s="1006"/>
      <c r="J3961" s="1006"/>
      <c r="K3961" s="1006"/>
      <c r="L3961" s="1007"/>
    </row>
    <row r="3962" spans="2:12" ht="31.5">
      <c r="B3962" s="733" t="s">
        <v>399</v>
      </c>
      <c r="C3962" s="25">
        <f>+'PROPUESTA ECONOMICA(Proponente)'!C427</f>
        <v>5.3</v>
      </c>
      <c r="D3962" s="12" t="str">
        <f>+VLOOKUP('MEMORIAS DE CANTIDADES'!C3962,'PROPUESTA ECONOMICA(Proponente)'!$C$379:$H$661,5,FALSE)</f>
        <v>Pañete en  mortero 1:3 para muros y paredes (incluye suministro)</v>
      </c>
      <c r="E3962" s="13"/>
      <c r="F3962" s="12"/>
      <c r="G3962" s="12"/>
      <c r="H3962" s="12"/>
      <c r="I3962" s="11" t="s">
        <v>400</v>
      </c>
      <c r="J3962" s="12" t="str">
        <f>+VLOOKUP('MEMORIAS DE CANTIDADES'!C3962,'PROPUESTA ECONOMICA(Proponente)'!$C$379:$H$661,6,FALSE)</f>
        <v>m2</v>
      </c>
      <c r="K3962" s="11" t="s">
        <v>401</v>
      </c>
      <c r="L3962" s="643">
        <f>SUM(L3963:L3998)</f>
        <v>3145.4</v>
      </c>
    </row>
    <row r="3963" spans="2:12" ht="15">
      <c r="B3963" s="644"/>
      <c r="C3963" s="16"/>
      <c r="D3963" s="15"/>
      <c r="E3963" s="15"/>
      <c r="F3963" s="15"/>
      <c r="G3963" s="15"/>
      <c r="H3963" s="15"/>
      <c r="I3963" s="15"/>
      <c r="J3963" s="15"/>
      <c r="K3963" s="17"/>
      <c r="L3963" s="645"/>
    </row>
    <row r="3964" spans="2:12" ht="47.25">
      <c r="B3964" s="646" t="s">
        <v>402</v>
      </c>
      <c r="C3964" s="18" t="s">
        <v>403</v>
      </c>
      <c r="D3964" s="18" t="s">
        <v>404</v>
      </c>
      <c r="E3964" s="18" t="s">
        <v>405</v>
      </c>
      <c r="F3964" s="18" t="s">
        <v>406</v>
      </c>
      <c r="G3964" s="18" t="s">
        <v>407</v>
      </c>
      <c r="H3964" s="5" t="s">
        <v>408</v>
      </c>
      <c r="I3964" s="18" t="s">
        <v>409</v>
      </c>
      <c r="J3964" s="5" t="s">
        <v>410</v>
      </c>
      <c r="K3964" s="5" t="s">
        <v>411</v>
      </c>
      <c r="L3964" s="647" t="s">
        <v>412</v>
      </c>
    </row>
    <row r="3965" spans="2:12" ht="15">
      <c r="B3965" s="650"/>
      <c r="C3965" s="20"/>
      <c r="D3965" s="20"/>
      <c r="E3965" s="20"/>
      <c r="F3965" s="20"/>
      <c r="G3965" s="20"/>
      <c r="H3965" s="20"/>
      <c r="I3965" s="20"/>
      <c r="J3965" s="19"/>
      <c r="K3965" s="17"/>
      <c r="L3965" s="649"/>
    </row>
    <row r="3966" spans="2:12" ht="15.75">
      <c r="B3966" s="760" t="s">
        <v>438</v>
      </c>
      <c r="C3966" s="20"/>
      <c r="D3966" s="20"/>
      <c r="E3966" s="20"/>
      <c r="F3966" s="20"/>
      <c r="G3966" s="20"/>
      <c r="H3966" s="20"/>
      <c r="I3966" s="20"/>
      <c r="J3966" s="19"/>
      <c r="K3966" s="17"/>
      <c r="L3966" s="649"/>
    </row>
    <row r="3967" spans="2:12" ht="15">
      <c r="B3967" s="650" t="s">
        <v>524</v>
      </c>
      <c r="C3967" s="20"/>
      <c r="D3967" s="20">
        <v>2.8</v>
      </c>
      <c r="E3967" s="20"/>
      <c r="F3967" s="20">
        <v>18.25</v>
      </c>
      <c r="G3967" s="20"/>
      <c r="H3967" s="20"/>
      <c r="I3967" s="20"/>
      <c r="J3967" s="19"/>
      <c r="K3967" s="17">
        <v>2</v>
      </c>
      <c r="L3967" s="649">
        <f t="shared" ref="L3967:L3970" si="280">PRODUCT(C3967:K3967)</f>
        <v>102.19999999999999</v>
      </c>
    </row>
    <row r="3968" spans="2:12" ht="15">
      <c r="B3968" s="650" t="s">
        <v>527</v>
      </c>
      <c r="C3968" s="20"/>
      <c r="D3968" s="20">
        <v>2.8</v>
      </c>
      <c r="E3968" s="20"/>
      <c r="F3968" s="20">
        <v>4.8</v>
      </c>
      <c r="G3968" s="20"/>
      <c r="H3968" s="20"/>
      <c r="I3968" s="20"/>
      <c r="J3968" s="19"/>
      <c r="K3968" s="17">
        <v>2</v>
      </c>
      <c r="L3968" s="649">
        <f t="shared" si="280"/>
        <v>26.88</v>
      </c>
    </row>
    <row r="3969" spans="2:12" ht="15">
      <c r="B3969" s="650" t="s">
        <v>526</v>
      </c>
      <c r="C3969" s="20"/>
      <c r="D3969" s="20">
        <v>-4</v>
      </c>
      <c r="E3969" s="20"/>
      <c r="F3969" s="20"/>
      <c r="G3969" s="20"/>
      <c r="H3969" s="20"/>
      <c r="I3969" s="20"/>
      <c r="J3969" s="19"/>
      <c r="K3969" s="17">
        <v>2</v>
      </c>
      <c r="L3969" s="649">
        <f t="shared" si="280"/>
        <v>-8</v>
      </c>
    </row>
    <row r="3970" spans="2:12" ht="15">
      <c r="B3970" s="650" t="s">
        <v>526</v>
      </c>
      <c r="C3970" s="20"/>
      <c r="D3970" s="19">
        <v>-1.3</v>
      </c>
      <c r="E3970" s="20">
        <v>2.4</v>
      </c>
      <c r="F3970" s="20"/>
      <c r="G3970" s="19"/>
      <c r="H3970" s="20"/>
      <c r="I3970" s="19">
        <v>2</v>
      </c>
      <c r="J3970" s="19"/>
      <c r="K3970" s="17">
        <v>2</v>
      </c>
      <c r="L3970" s="649">
        <f t="shared" si="280"/>
        <v>-12.48</v>
      </c>
    </row>
    <row r="3971" spans="2:12" ht="15">
      <c r="B3971" s="650"/>
      <c r="C3971" s="20"/>
      <c r="D3971" s="20"/>
      <c r="E3971" s="20"/>
      <c r="F3971" s="20"/>
      <c r="G3971" s="20"/>
      <c r="H3971" s="20"/>
      <c r="I3971" s="20"/>
      <c r="J3971" s="19"/>
      <c r="K3971" s="17"/>
      <c r="L3971" s="649"/>
    </row>
    <row r="3972" spans="2:12" ht="15.75">
      <c r="B3972" s="760" t="s">
        <v>464</v>
      </c>
      <c r="C3972" s="20"/>
      <c r="D3972" s="20"/>
      <c r="E3972" s="20"/>
      <c r="F3972" s="20"/>
      <c r="G3972" s="20"/>
      <c r="H3972" s="20"/>
      <c r="I3972" s="20"/>
      <c r="J3972" s="19"/>
      <c r="K3972" s="17"/>
      <c r="L3972" s="649"/>
    </row>
    <row r="3973" spans="2:12" ht="15">
      <c r="B3973" s="650" t="s">
        <v>524</v>
      </c>
      <c r="C3973" s="20"/>
      <c r="D3973" s="20">
        <v>2.8</v>
      </c>
      <c r="E3973" s="20"/>
      <c r="F3973" s="20">
        <v>13.72</v>
      </c>
      <c r="G3973" s="20"/>
      <c r="H3973" s="20"/>
      <c r="I3973" s="20"/>
      <c r="J3973" s="19">
        <v>2</v>
      </c>
      <c r="K3973" s="17">
        <v>2</v>
      </c>
      <c r="L3973" s="649">
        <f t="shared" ref="L3973:L3976" si="281">PRODUCT(C3973:K3973)</f>
        <v>153.66399999999999</v>
      </c>
    </row>
    <row r="3974" spans="2:12" ht="15">
      <c r="B3974" s="650" t="s">
        <v>527</v>
      </c>
      <c r="C3974" s="20"/>
      <c r="D3974" s="20">
        <v>2.8</v>
      </c>
      <c r="E3974" s="20"/>
      <c r="F3974" s="20">
        <v>4.4000000000000004</v>
      </c>
      <c r="G3974" s="20"/>
      <c r="H3974" s="20"/>
      <c r="I3974" s="20"/>
      <c r="J3974" s="19">
        <v>2</v>
      </c>
      <c r="K3974" s="17">
        <v>2</v>
      </c>
      <c r="L3974" s="649">
        <f t="shared" si="281"/>
        <v>49.28</v>
      </c>
    </row>
    <row r="3975" spans="2:12" ht="15">
      <c r="B3975" s="650" t="s">
        <v>526</v>
      </c>
      <c r="C3975" s="20"/>
      <c r="D3975" s="20">
        <v>-4</v>
      </c>
      <c r="E3975" s="20"/>
      <c r="F3975" s="20"/>
      <c r="G3975" s="20"/>
      <c r="H3975" s="20"/>
      <c r="I3975" s="20"/>
      <c r="J3975" s="19">
        <v>2</v>
      </c>
      <c r="K3975" s="17">
        <v>2</v>
      </c>
      <c r="L3975" s="649">
        <f t="shared" si="281"/>
        <v>-16</v>
      </c>
    </row>
    <row r="3976" spans="2:12" ht="15">
      <c r="B3976" s="650" t="s">
        <v>526</v>
      </c>
      <c r="C3976" s="20"/>
      <c r="D3976" s="19">
        <v>-1.3</v>
      </c>
      <c r="E3976" s="20">
        <v>2.4</v>
      </c>
      <c r="F3976" s="20"/>
      <c r="G3976" s="19"/>
      <c r="H3976" s="20"/>
      <c r="I3976" s="19">
        <v>2</v>
      </c>
      <c r="J3976" s="19">
        <v>2</v>
      </c>
      <c r="K3976" s="17">
        <v>2</v>
      </c>
      <c r="L3976" s="649">
        <f t="shared" si="281"/>
        <v>-24.96</v>
      </c>
    </row>
    <row r="3977" spans="2:12" ht="15">
      <c r="B3977" s="650"/>
      <c r="C3977" s="20"/>
      <c r="D3977" s="20"/>
      <c r="E3977" s="20"/>
      <c r="F3977" s="20"/>
      <c r="G3977" s="20"/>
      <c r="H3977" s="20"/>
      <c r="I3977" s="20"/>
      <c r="J3977" s="19"/>
      <c r="K3977" s="17">
        <v>2</v>
      </c>
      <c r="L3977" s="649"/>
    </row>
    <row r="3978" spans="2:12" ht="15">
      <c r="B3978" s="650" t="s">
        <v>524</v>
      </c>
      <c r="C3978" s="20"/>
      <c r="D3978" s="20">
        <v>0.2</v>
      </c>
      <c r="E3978" s="20"/>
      <c r="F3978" s="20">
        <f>+F3973</f>
        <v>13.72</v>
      </c>
      <c r="G3978" s="20"/>
      <c r="H3978" s="20"/>
      <c r="I3978" s="20">
        <v>2</v>
      </c>
      <c r="J3978" s="19"/>
      <c r="K3978" s="17">
        <v>2</v>
      </c>
      <c r="L3978" s="649">
        <f t="shared" ref="L3978" si="282">PRODUCT(C3978:K3978)</f>
        <v>10.976000000000001</v>
      </c>
    </row>
    <row r="3979" spans="2:12" ht="15">
      <c r="B3979" s="650"/>
      <c r="C3979" s="20"/>
      <c r="D3979" s="20"/>
      <c r="E3979" s="20"/>
      <c r="F3979" s="20"/>
      <c r="G3979" s="20"/>
      <c r="H3979" s="20"/>
      <c r="I3979" s="20"/>
      <c r="J3979" s="19"/>
      <c r="K3979" s="17"/>
      <c r="L3979" s="649"/>
    </row>
    <row r="3980" spans="2:12" ht="15">
      <c r="B3980" s="648" t="s">
        <v>528</v>
      </c>
      <c r="C3980" s="20"/>
      <c r="D3980" s="20"/>
      <c r="E3980" s="19">
        <v>3</v>
      </c>
      <c r="F3980" s="20">
        <v>14</v>
      </c>
      <c r="G3980" s="20"/>
      <c r="H3980" s="19"/>
      <c r="I3980" s="20"/>
      <c r="J3980" s="19">
        <v>2</v>
      </c>
      <c r="K3980" s="17">
        <v>2</v>
      </c>
      <c r="L3980" s="649">
        <f t="shared" ref="L3980:L3983" si="283">PRODUCT(C3980:K3980)</f>
        <v>168</v>
      </c>
    </row>
    <row r="3981" spans="2:12" ht="15">
      <c r="B3981" s="648" t="s">
        <v>529</v>
      </c>
      <c r="C3981" s="20"/>
      <c r="D3981" s="20"/>
      <c r="E3981" s="19">
        <v>3</v>
      </c>
      <c r="F3981" s="20">
        <v>14</v>
      </c>
      <c r="G3981" s="20"/>
      <c r="H3981" s="19"/>
      <c r="I3981" s="20"/>
      <c r="J3981" s="19"/>
      <c r="K3981" s="17">
        <v>2</v>
      </c>
      <c r="L3981" s="649">
        <f t="shared" si="283"/>
        <v>84</v>
      </c>
    </row>
    <row r="3982" spans="2:12" ht="15">
      <c r="B3982" s="648" t="s">
        <v>530</v>
      </c>
      <c r="C3982" s="20"/>
      <c r="D3982" s="20"/>
      <c r="E3982" s="19">
        <v>3</v>
      </c>
      <c r="F3982" s="20">
        <v>14</v>
      </c>
      <c r="G3982" s="20"/>
      <c r="H3982" s="19"/>
      <c r="I3982" s="20"/>
      <c r="J3982" s="19"/>
      <c r="K3982" s="17">
        <v>2</v>
      </c>
      <c r="L3982" s="649">
        <f t="shared" si="283"/>
        <v>84</v>
      </c>
    </row>
    <row r="3983" spans="2:12" ht="15">
      <c r="B3983" s="648" t="s">
        <v>526</v>
      </c>
      <c r="C3983" s="20">
        <v>-6</v>
      </c>
      <c r="D3983" s="20"/>
      <c r="E3983" s="19"/>
      <c r="F3983" s="20"/>
      <c r="G3983" s="20"/>
      <c r="H3983" s="19"/>
      <c r="I3983" s="20"/>
      <c r="J3983" s="19"/>
      <c r="K3983" s="17">
        <v>2</v>
      </c>
      <c r="L3983" s="649">
        <f t="shared" si="283"/>
        <v>-12</v>
      </c>
    </row>
    <row r="3984" spans="2:12" ht="15">
      <c r="B3984" s="650"/>
      <c r="C3984" s="20"/>
      <c r="D3984" s="20"/>
      <c r="E3984" s="20"/>
      <c r="F3984" s="20"/>
      <c r="G3984" s="20"/>
      <c r="H3984" s="20"/>
      <c r="I3984" s="20"/>
      <c r="J3984" s="19"/>
      <c r="K3984" s="17"/>
      <c r="L3984" s="649"/>
    </row>
    <row r="3985" spans="2:12" ht="15">
      <c r="B3985" s="648" t="s">
        <v>523</v>
      </c>
      <c r="C3985" s="19">
        <v>40</v>
      </c>
      <c r="D3985" s="19"/>
      <c r="E3985" s="19"/>
      <c r="F3985" s="19"/>
      <c r="G3985" s="20"/>
      <c r="H3985" s="68"/>
      <c r="I3985" s="28">
        <v>2</v>
      </c>
      <c r="J3985" s="28"/>
      <c r="K3985" s="17"/>
      <c r="L3985" s="649">
        <f>PRODUCT(C3985:K3985)</f>
        <v>80</v>
      </c>
    </row>
    <row r="3986" spans="2:12" ht="15">
      <c r="B3986" s="648" t="s">
        <v>524</v>
      </c>
      <c r="C3986" s="19"/>
      <c r="D3986" s="19">
        <v>0.2</v>
      </c>
      <c r="E3986" s="19">
        <v>57.6</v>
      </c>
      <c r="F3986" s="19"/>
      <c r="G3986" s="20"/>
      <c r="H3986" s="68"/>
      <c r="I3986" s="17"/>
      <c r="J3986" s="28"/>
      <c r="K3986" s="17">
        <v>2</v>
      </c>
      <c r="L3986" s="649">
        <f>PRODUCT(C3986:K3986)</f>
        <v>23.040000000000003</v>
      </c>
    </row>
    <row r="3987" spans="2:12" ht="15">
      <c r="B3987" s="648"/>
      <c r="C3987" s="20"/>
      <c r="D3987" s="19"/>
      <c r="E3987" s="19"/>
      <c r="F3987" s="19"/>
      <c r="G3987" s="20"/>
      <c r="H3987" s="68"/>
      <c r="I3987" s="17"/>
      <c r="J3987" s="19"/>
      <c r="K3987" s="17"/>
      <c r="L3987" s="649"/>
    </row>
    <row r="3988" spans="2:12" ht="15">
      <c r="B3988" s="648" t="s">
        <v>525</v>
      </c>
      <c r="C3988" s="20">
        <v>30</v>
      </c>
      <c r="D3988" s="20"/>
      <c r="E3988" s="20"/>
      <c r="F3988" s="20"/>
      <c r="G3988" s="20"/>
      <c r="H3988" s="20"/>
      <c r="I3988" s="20">
        <v>2</v>
      </c>
      <c r="J3988" s="19"/>
      <c r="K3988" s="17"/>
      <c r="L3988" s="649">
        <f t="shared" ref="L3988:L3989" si="284">PRODUCT(C3988:K3988)</f>
        <v>60</v>
      </c>
    </row>
    <row r="3989" spans="2:12" ht="15">
      <c r="B3989" s="650" t="s">
        <v>524</v>
      </c>
      <c r="C3989" s="20"/>
      <c r="D3989" s="20">
        <v>2</v>
      </c>
      <c r="E3989" s="20">
        <v>32.6</v>
      </c>
      <c r="F3989" s="20"/>
      <c r="G3989" s="20"/>
      <c r="H3989" s="19"/>
      <c r="I3989" s="20"/>
      <c r="J3989" s="19"/>
      <c r="K3989" s="17">
        <v>2</v>
      </c>
      <c r="L3989" s="649">
        <f t="shared" si="284"/>
        <v>130.4</v>
      </c>
    </row>
    <row r="3990" spans="2:12" ht="15">
      <c r="B3990" s="650"/>
      <c r="C3990" s="20"/>
      <c r="D3990" s="20"/>
      <c r="E3990" s="20"/>
      <c r="F3990" s="20"/>
      <c r="G3990" s="20"/>
      <c r="H3990" s="19"/>
      <c r="I3990" s="20"/>
      <c r="J3990" s="19"/>
      <c r="K3990" s="17"/>
      <c r="L3990" s="649"/>
    </row>
    <row r="3991" spans="2:12" ht="15">
      <c r="B3991" s="650" t="s">
        <v>909</v>
      </c>
      <c r="C3991" s="20"/>
      <c r="D3991" s="20"/>
      <c r="E3991" s="20">
        <v>3.2</v>
      </c>
      <c r="F3991" s="20">
        <v>32.299999999999997</v>
      </c>
      <c r="G3991" s="20"/>
      <c r="H3991" s="20"/>
      <c r="I3991" s="20">
        <v>2</v>
      </c>
      <c r="J3991" s="19">
        <v>2</v>
      </c>
      <c r="K3991" s="17"/>
      <c r="L3991" s="649">
        <f t="shared" ref="L3991:L3994" si="285">PRODUCT(C3991:K3991)</f>
        <v>413.44</v>
      </c>
    </row>
    <row r="3992" spans="2:12" ht="15">
      <c r="B3992" s="650" t="s">
        <v>910</v>
      </c>
      <c r="C3992" s="20"/>
      <c r="D3992" s="20"/>
      <c r="E3992" s="20">
        <v>3.2</v>
      </c>
      <c r="F3992" s="20">
        <v>31.9</v>
      </c>
      <c r="G3992" s="20"/>
      <c r="H3992" s="20"/>
      <c r="I3992" s="20">
        <v>2</v>
      </c>
      <c r="J3992" s="19">
        <v>4</v>
      </c>
      <c r="K3992" s="17"/>
      <c r="L3992" s="649">
        <f t="shared" si="285"/>
        <v>816.64</v>
      </c>
    </row>
    <row r="3993" spans="2:12" ht="15">
      <c r="B3993" s="650" t="s">
        <v>911</v>
      </c>
      <c r="C3993" s="20"/>
      <c r="D3993" s="20"/>
      <c r="E3993" s="20">
        <v>3.2</v>
      </c>
      <c r="F3993" s="20">
        <v>28.8</v>
      </c>
      <c r="G3993" s="20"/>
      <c r="H3993" s="20"/>
      <c r="I3993" s="20">
        <v>2</v>
      </c>
      <c r="J3993" s="19">
        <v>4</v>
      </c>
      <c r="K3993" s="17"/>
      <c r="L3993" s="649">
        <f t="shared" si="285"/>
        <v>737.28000000000009</v>
      </c>
    </row>
    <row r="3994" spans="2:12" ht="15">
      <c r="B3994" s="650" t="s">
        <v>912</v>
      </c>
      <c r="C3994" s="20"/>
      <c r="D3994" s="20"/>
      <c r="E3994" s="20">
        <v>3.2</v>
      </c>
      <c r="F3994" s="20">
        <v>21.8</v>
      </c>
      <c r="G3994" s="20"/>
      <c r="H3994" s="20"/>
      <c r="I3994" s="20">
        <v>2</v>
      </c>
      <c r="J3994" s="19">
        <v>2</v>
      </c>
      <c r="K3994" s="17"/>
      <c r="L3994" s="649">
        <f t="shared" si="285"/>
        <v>279.04000000000002</v>
      </c>
    </row>
    <row r="3995" spans="2:12" ht="15">
      <c r="B3995" s="650"/>
      <c r="C3995" s="20"/>
      <c r="D3995" s="20"/>
      <c r="E3995" s="20"/>
      <c r="F3995" s="20"/>
      <c r="G3995" s="20"/>
      <c r="H3995" s="19"/>
      <c r="I3995" s="20"/>
      <c r="J3995" s="19"/>
      <c r="K3995" s="17"/>
      <c r="L3995" s="649"/>
    </row>
    <row r="3996" spans="2:12" ht="15">
      <c r="B3996" s="650"/>
      <c r="C3996" s="20"/>
      <c r="D3996" s="20"/>
      <c r="E3996" s="20"/>
      <c r="F3996" s="20"/>
      <c r="G3996" s="20"/>
      <c r="H3996" s="19"/>
      <c r="I3996" s="20"/>
      <c r="J3996" s="19"/>
      <c r="K3996" s="17"/>
      <c r="L3996" s="649"/>
    </row>
    <row r="3997" spans="2:12" ht="15">
      <c r="B3997" s="650"/>
      <c r="C3997" s="20"/>
      <c r="D3997" s="20"/>
      <c r="E3997" s="20"/>
      <c r="F3997" s="20"/>
      <c r="G3997" s="20"/>
      <c r="H3997" s="20"/>
      <c r="I3997" s="20"/>
      <c r="J3997" s="19"/>
      <c r="K3997" s="17"/>
      <c r="L3997" s="649"/>
    </row>
    <row r="3998" spans="2:12" ht="15.75">
      <c r="B3998" s="981" t="s">
        <v>414</v>
      </c>
      <c r="C3998" s="982"/>
      <c r="D3998" s="982"/>
      <c r="E3998" s="982"/>
      <c r="F3998" s="982"/>
      <c r="G3998" s="982"/>
      <c r="H3998" s="982"/>
      <c r="I3998" s="982"/>
      <c r="J3998" s="982"/>
      <c r="K3998" s="982"/>
      <c r="L3998" s="983"/>
    </row>
    <row r="3999" spans="2:12" ht="15.75">
      <c r="B3999" s="756"/>
      <c r="C3999" s="757"/>
      <c r="D3999" s="757"/>
      <c r="E3999" s="757"/>
      <c r="F3999" s="757"/>
      <c r="G3999" s="757"/>
      <c r="H3999" s="757"/>
      <c r="I3999" s="757"/>
      <c r="J3999" s="757"/>
      <c r="K3999" s="757"/>
      <c r="L3999" s="758"/>
    </row>
    <row r="4000" spans="2:12" ht="15.6" customHeight="1">
      <c r="B4000" s="638" t="s">
        <v>398</v>
      </c>
      <c r="C4000" s="8">
        <v>5</v>
      </c>
      <c r="D4000" s="1008" t="s">
        <v>1029</v>
      </c>
      <c r="E4000" s="1009"/>
      <c r="F4000" s="1009"/>
      <c r="G4000" s="1009"/>
      <c r="H4000" s="1009"/>
      <c r="I4000" s="1009"/>
      <c r="J4000" s="1009"/>
      <c r="K4000" s="1009"/>
      <c r="L4000" s="1010"/>
    </row>
    <row r="4001" spans="2:12" ht="15">
      <c r="B4001" s="1005"/>
      <c r="C4001" s="1006"/>
      <c r="D4001" s="1006"/>
      <c r="E4001" s="1006"/>
      <c r="F4001" s="1006"/>
      <c r="G4001" s="1006"/>
      <c r="H4001" s="1006"/>
      <c r="I4001" s="1006"/>
      <c r="J4001" s="1006"/>
      <c r="K4001" s="1006"/>
      <c r="L4001" s="1007"/>
    </row>
    <row r="4002" spans="2:12" ht="47.25">
      <c r="B4002" s="642" t="s">
        <v>399</v>
      </c>
      <c r="C4002" s="25">
        <f>+'PROPUESTA ECONOMICA(Proponente)'!C428</f>
        <v>5.4</v>
      </c>
      <c r="D4002" s="12" t="str">
        <f>+VLOOKUP('MEMORIAS DE CANTIDADES'!C4002,'PROPUESTA ECONOMICA(Proponente)'!$C$379:$H$661,5,FALSE)</f>
        <v>Dintel en concreto de 3000psi. (incluye suministro, instalación de concreto y formaletaria)</v>
      </c>
      <c r="E4002" s="13"/>
      <c r="F4002" s="12"/>
      <c r="G4002" s="12"/>
      <c r="H4002" s="12"/>
      <c r="I4002" s="11" t="s">
        <v>400</v>
      </c>
      <c r="J4002" s="12" t="str">
        <f>+VLOOKUP('MEMORIAS DE CANTIDADES'!C4002,'PROPUESTA ECONOMICA(Proponente)'!$C$379:$H$661,6,FALSE)</f>
        <v>ml</v>
      </c>
      <c r="K4002" s="11" t="s">
        <v>401</v>
      </c>
      <c r="L4002" s="643">
        <f>SUM(L4003:L4011)</f>
        <v>43.399999999999991</v>
      </c>
    </row>
    <row r="4003" spans="2:12" ht="15">
      <c r="B4003" s="644"/>
      <c r="C4003" s="16"/>
      <c r="D4003" s="15"/>
      <c r="E4003" s="15"/>
      <c r="F4003" s="15"/>
      <c r="G4003" s="15"/>
      <c r="H4003" s="15"/>
      <c r="I4003" s="15"/>
      <c r="J4003" s="15"/>
      <c r="K4003" s="17"/>
      <c r="L4003" s="645"/>
    </row>
    <row r="4004" spans="2:12" ht="47.25">
      <c r="B4004" s="646" t="s">
        <v>402</v>
      </c>
      <c r="C4004" s="18" t="s">
        <v>403</v>
      </c>
      <c r="D4004" s="18" t="s">
        <v>404</v>
      </c>
      <c r="E4004" s="18" t="s">
        <v>405</v>
      </c>
      <c r="F4004" s="18" t="s">
        <v>406</v>
      </c>
      <c r="G4004" s="18" t="s">
        <v>407</v>
      </c>
      <c r="H4004" s="5" t="s">
        <v>408</v>
      </c>
      <c r="I4004" s="18" t="s">
        <v>409</v>
      </c>
      <c r="J4004" s="5" t="s">
        <v>410</v>
      </c>
      <c r="K4004" s="5" t="s">
        <v>411</v>
      </c>
      <c r="L4004" s="647" t="s">
        <v>412</v>
      </c>
    </row>
    <row r="4005" spans="2:12" ht="15">
      <c r="B4005" s="648"/>
      <c r="C4005" s="19"/>
      <c r="D4005" s="19"/>
      <c r="E4005" s="19"/>
      <c r="F4005" s="19"/>
      <c r="G4005" s="20"/>
      <c r="H4005" s="68"/>
      <c r="I4005" s="17"/>
      <c r="J4005" s="28"/>
      <c r="K4005" s="17"/>
      <c r="L4005" s="649">
        <f>PRODUCT(C4005:K4005)</f>
        <v>0</v>
      </c>
    </row>
    <row r="4006" spans="2:12" ht="15">
      <c r="B4006" s="648" t="s">
        <v>531</v>
      </c>
      <c r="C4006" s="19"/>
      <c r="D4006" s="19"/>
      <c r="E4006" s="19"/>
      <c r="F4006" s="19">
        <v>1.4</v>
      </c>
      <c r="G4006" s="20"/>
      <c r="H4006" s="68"/>
      <c r="I4006" s="17">
        <v>7</v>
      </c>
      <c r="J4006" s="28"/>
      <c r="K4006" s="17"/>
      <c r="L4006" s="649">
        <f>PRODUCT(C4006:K4006)</f>
        <v>9.7999999999999989</v>
      </c>
    </row>
    <row r="4007" spans="2:12" ht="15">
      <c r="B4007" s="648" t="s">
        <v>532</v>
      </c>
      <c r="C4007" s="20"/>
      <c r="D4007" s="19"/>
      <c r="E4007" s="19"/>
      <c r="F4007" s="19">
        <f>12*2</f>
        <v>24</v>
      </c>
      <c r="G4007" s="20"/>
      <c r="H4007" s="68"/>
      <c r="I4007" s="17">
        <v>1.2</v>
      </c>
      <c r="J4007" s="19"/>
      <c r="K4007" s="17"/>
      <c r="L4007" s="649">
        <f>PRODUCT(C4007:K4007)</f>
        <v>28.799999999999997</v>
      </c>
    </row>
    <row r="4008" spans="2:12" ht="15">
      <c r="B4008" s="648" t="s">
        <v>533</v>
      </c>
      <c r="C4008" s="20"/>
      <c r="D4008" s="20"/>
      <c r="E4008" s="20"/>
      <c r="F4008" s="20">
        <v>2.4</v>
      </c>
      <c r="G4008" s="20"/>
      <c r="H4008" s="20"/>
      <c r="I4008" s="20">
        <v>2</v>
      </c>
      <c r="J4008" s="19"/>
      <c r="K4008" s="17"/>
      <c r="L4008" s="649">
        <f>PRODUCT(C4008:K4008)</f>
        <v>4.8</v>
      </c>
    </row>
    <row r="4009" spans="2:12" ht="15">
      <c r="B4009" s="650"/>
      <c r="C4009" s="20"/>
      <c r="D4009" s="20"/>
      <c r="E4009" s="20"/>
      <c r="F4009" s="20"/>
      <c r="G4009" s="20"/>
      <c r="H4009" s="19"/>
      <c r="I4009" s="20"/>
      <c r="J4009" s="19"/>
      <c r="K4009" s="17"/>
      <c r="L4009" s="649"/>
    </row>
    <row r="4010" spans="2:12" ht="15">
      <c r="B4010" s="650"/>
      <c r="C4010" s="20"/>
      <c r="D4010" s="20"/>
      <c r="E4010" s="20"/>
      <c r="F4010" s="20"/>
      <c r="G4010" s="20"/>
      <c r="H4010" s="19"/>
      <c r="I4010" s="20"/>
      <c r="J4010" s="19"/>
      <c r="K4010" s="17"/>
      <c r="L4010" s="645"/>
    </row>
    <row r="4011" spans="2:12" ht="15.75">
      <c r="B4011" s="981" t="s">
        <v>414</v>
      </c>
      <c r="C4011" s="982"/>
      <c r="D4011" s="982"/>
      <c r="E4011" s="982"/>
      <c r="F4011" s="982"/>
      <c r="G4011" s="982"/>
      <c r="H4011" s="982"/>
      <c r="I4011" s="982"/>
      <c r="J4011" s="982"/>
      <c r="K4011" s="982"/>
      <c r="L4011" s="983"/>
    </row>
    <row r="4012" spans="2:12" ht="15.75">
      <c r="B4012" s="756"/>
      <c r="C4012" s="757"/>
      <c r="D4012" s="757"/>
      <c r="E4012" s="757"/>
      <c r="F4012" s="757"/>
      <c r="G4012" s="757"/>
      <c r="H4012" s="757"/>
      <c r="I4012" s="757"/>
      <c r="J4012" s="757"/>
      <c r="K4012" s="757"/>
      <c r="L4012" s="758"/>
    </row>
    <row r="4013" spans="2:12" ht="15.6" customHeight="1">
      <c r="B4013" s="638" t="s">
        <v>398</v>
      </c>
      <c r="C4013" s="8">
        <v>5</v>
      </c>
      <c r="D4013" s="1008" t="s">
        <v>1029</v>
      </c>
      <c r="E4013" s="1009"/>
      <c r="F4013" s="1009"/>
      <c r="G4013" s="1009"/>
      <c r="H4013" s="1009"/>
      <c r="I4013" s="1009"/>
      <c r="J4013" s="1009"/>
      <c r="K4013" s="1009"/>
      <c r="L4013" s="1010"/>
    </row>
    <row r="4014" spans="2:12" ht="15">
      <c r="B4014" s="1005"/>
      <c r="C4014" s="1006"/>
      <c r="D4014" s="1006"/>
      <c r="E4014" s="1006"/>
      <c r="F4014" s="1006"/>
      <c r="G4014" s="1006"/>
      <c r="H4014" s="1006"/>
      <c r="I4014" s="1006"/>
      <c r="J4014" s="1006"/>
      <c r="K4014" s="1006"/>
      <c r="L4014" s="1007"/>
    </row>
    <row r="4015" spans="2:12" ht="47.25">
      <c r="B4015" s="733" t="s">
        <v>399</v>
      </c>
      <c r="C4015" s="25">
        <f>+'PROPUESTA ECONOMICA(Proponente)'!C429</f>
        <v>5.5</v>
      </c>
      <c r="D4015" s="12" t="str">
        <f>+VLOOKUP('MEMORIAS DE CANTIDADES'!C4015,'PROPUESTA ECONOMICA(Proponente)'!$C$379:$H$661,5,FALSE)</f>
        <v>CONCRETO VIGA ANILLO: Concreto para viga anillo de 3500 PSI (incluye suministro, instalación de concreto y formaletaria).</v>
      </c>
      <c r="E4015" s="13"/>
      <c r="F4015" s="12"/>
      <c r="G4015" s="12"/>
      <c r="H4015" s="12"/>
      <c r="I4015" s="11" t="s">
        <v>400</v>
      </c>
      <c r="J4015" s="12" t="str">
        <f>+VLOOKUP('MEMORIAS DE CANTIDADES'!C4015,'PROPUESTA ECONOMICA(Proponente)'!$C$379:$H$661,6,FALSE)</f>
        <v>M3</v>
      </c>
      <c r="K4015" s="11" t="s">
        <v>401</v>
      </c>
      <c r="L4015" s="643">
        <f>SUM(L4016:L4042)</f>
        <v>423.18392</v>
      </c>
    </row>
    <row r="4016" spans="2:12" ht="15">
      <c r="B4016" s="644"/>
      <c r="C4016" s="16"/>
      <c r="D4016" s="15"/>
      <c r="E4016" s="15"/>
      <c r="F4016" s="15"/>
      <c r="G4016" s="15"/>
      <c r="H4016" s="15"/>
      <c r="I4016" s="15"/>
      <c r="J4016" s="15"/>
      <c r="K4016" s="17"/>
      <c r="L4016" s="645"/>
    </row>
    <row r="4017" spans="2:12" ht="47.25">
      <c r="B4017" s="646" t="s">
        <v>402</v>
      </c>
      <c r="C4017" s="18" t="s">
        <v>403</v>
      </c>
      <c r="D4017" s="18" t="s">
        <v>404</v>
      </c>
      <c r="E4017" s="18" t="s">
        <v>405</v>
      </c>
      <c r="F4017" s="18" t="s">
        <v>406</v>
      </c>
      <c r="G4017" s="18" t="s">
        <v>407</v>
      </c>
      <c r="H4017" s="5" t="s">
        <v>408</v>
      </c>
      <c r="I4017" s="18" t="s">
        <v>409</v>
      </c>
      <c r="J4017" s="5" t="s">
        <v>410</v>
      </c>
      <c r="K4017" s="5" t="s">
        <v>411</v>
      </c>
      <c r="L4017" s="647" t="s">
        <v>412</v>
      </c>
    </row>
    <row r="4018" spans="2:12" ht="15">
      <c r="B4018" s="650"/>
      <c r="C4018" s="20"/>
      <c r="D4018" s="20"/>
      <c r="E4018" s="19"/>
      <c r="F4018" s="20"/>
      <c r="G4018" s="20"/>
      <c r="H4018" s="20"/>
      <c r="I4018" s="20"/>
      <c r="J4018" s="19"/>
      <c r="K4018" s="17"/>
      <c r="L4018" s="649"/>
    </row>
    <row r="4019" spans="2:12" ht="15">
      <c r="B4019" s="650" t="s">
        <v>438</v>
      </c>
      <c r="C4019" s="20"/>
      <c r="D4019" s="20"/>
      <c r="E4019" s="19"/>
      <c r="F4019" s="20"/>
      <c r="G4019" s="20"/>
      <c r="H4019" s="20"/>
      <c r="I4019" s="20"/>
      <c r="J4019" s="19"/>
      <c r="K4019" s="17"/>
      <c r="L4019" s="649"/>
    </row>
    <row r="4020" spans="2:12" ht="15">
      <c r="B4020" s="650" t="s">
        <v>524</v>
      </c>
      <c r="C4020" s="20"/>
      <c r="D4020" s="20">
        <v>0.12</v>
      </c>
      <c r="E4020" s="19">
        <v>0.2</v>
      </c>
      <c r="F4020" s="20">
        <v>18.25</v>
      </c>
      <c r="G4020" s="20"/>
      <c r="H4020" s="20"/>
      <c r="I4020" s="20"/>
      <c r="J4020" s="19"/>
      <c r="K4020" s="17"/>
      <c r="L4020" s="649">
        <f t="shared" ref="L4020:L4023" si="286">PRODUCT(C4020:K4020)</f>
        <v>0.438</v>
      </c>
    </row>
    <row r="4021" spans="2:12" ht="15">
      <c r="B4021" s="650" t="s">
        <v>527</v>
      </c>
      <c r="C4021" s="20"/>
      <c r="D4021" s="20">
        <v>0.12</v>
      </c>
      <c r="E4021" s="19">
        <v>0.2</v>
      </c>
      <c r="F4021" s="20">
        <v>4.8</v>
      </c>
      <c r="G4021" s="20"/>
      <c r="H4021" s="20"/>
      <c r="I4021" s="20"/>
      <c r="J4021" s="19"/>
      <c r="K4021" s="17"/>
      <c r="L4021" s="649">
        <f t="shared" si="286"/>
        <v>0.1152</v>
      </c>
    </row>
    <row r="4022" spans="2:12" ht="15">
      <c r="B4022" s="650" t="s">
        <v>526</v>
      </c>
      <c r="C4022" s="20"/>
      <c r="D4022" s="20"/>
      <c r="E4022" s="19"/>
      <c r="F4022" s="20"/>
      <c r="G4022" s="20"/>
      <c r="H4022" s="20"/>
      <c r="I4022" s="20"/>
      <c r="J4022" s="19"/>
      <c r="K4022" s="17"/>
      <c r="L4022" s="649">
        <f t="shared" si="286"/>
        <v>0</v>
      </c>
    </row>
    <row r="4023" spans="2:12" ht="15">
      <c r="B4023" s="650" t="s">
        <v>526</v>
      </c>
      <c r="C4023" s="20"/>
      <c r="D4023" s="20"/>
      <c r="E4023" s="19"/>
      <c r="F4023" s="20"/>
      <c r="G4023" s="19"/>
      <c r="H4023" s="20"/>
      <c r="I4023" s="19">
        <v>2</v>
      </c>
      <c r="J4023" s="19"/>
      <c r="K4023" s="17"/>
      <c r="L4023" s="649">
        <f t="shared" si="286"/>
        <v>2</v>
      </c>
    </row>
    <row r="4024" spans="2:12" ht="15">
      <c r="B4024" s="650"/>
      <c r="C4024" s="20"/>
      <c r="D4024" s="20"/>
      <c r="E4024" s="19"/>
      <c r="F4024" s="20"/>
      <c r="G4024" s="20"/>
      <c r="H4024" s="20"/>
      <c r="I4024" s="20"/>
      <c r="J4024" s="19"/>
      <c r="K4024" s="17"/>
      <c r="L4024" s="649"/>
    </row>
    <row r="4025" spans="2:12" ht="15">
      <c r="B4025" s="650" t="s">
        <v>464</v>
      </c>
      <c r="C4025" s="20"/>
      <c r="D4025" s="20"/>
      <c r="E4025" s="19"/>
      <c r="F4025" s="20"/>
      <c r="G4025" s="20"/>
      <c r="H4025" s="20"/>
      <c r="I4025" s="20"/>
      <c r="J4025" s="19"/>
      <c r="K4025" s="17"/>
      <c r="L4025" s="649"/>
    </row>
    <row r="4026" spans="2:12" ht="15">
      <c r="B4026" s="650" t="s">
        <v>524</v>
      </c>
      <c r="C4026" s="20"/>
      <c r="D4026" s="20">
        <v>0.12</v>
      </c>
      <c r="E4026" s="19">
        <v>0.2</v>
      </c>
      <c r="F4026" s="20">
        <v>13.72</v>
      </c>
      <c r="G4026" s="20"/>
      <c r="H4026" s="20"/>
      <c r="I4026" s="20"/>
      <c r="J4026" s="19">
        <v>2</v>
      </c>
      <c r="K4026" s="17"/>
      <c r="L4026" s="649">
        <f t="shared" ref="L4026:L4027" si="287">PRODUCT(C4026:K4026)</f>
        <v>0.65856000000000003</v>
      </c>
    </row>
    <row r="4027" spans="2:12" ht="15">
      <c r="B4027" s="650" t="s">
        <v>527</v>
      </c>
      <c r="C4027" s="20"/>
      <c r="D4027" s="20">
        <v>0.12</v>
      </c>
      <c r="E4027" s="19">
        <v>0.2</v>
      </c>
      <c r="F4027" s="20">
        <v>4.4000000000000004</v>
      </c>
      <c r="G4027" s="20"/>
      <c r="H4027" s="20"/>
      <c r="I4027" s="20"/>
      <c r="J4027" s="19">
        <v>2</v>
      </c>
      <c r="K4027" s="17"/>
      <c r="L4027" s="649">
        <f t="shared" si="287"/>
        <v>0.21120000000000003</v>
      </c>
    </row>
    <row r="4028" spans="2:12" ht="15">
      <c r="B4028" s="650"/>
      <c r="C4028" s="20"/>
      <c r="D4028" s="20">
        <v>0.12</v>
      </c>
      <c r="E4028" s="19"/>
      <c r="F4028" s="20"/>
      <c r="G4028" s="20"/>
      <c r="H4028" s="20"/>
      <c r="I4028" s="20"/>
      <c r="J4028" s="19"/>
      <c r="K4028" s="17"/>
      <c r="L4028" s="649"/>
    </row>
    <row r="4029" spans="2:12" ht="15">
      <c r="B4029" s="650" t="s">
        <v>524</v>
      </c>
      <c r="C4029" s="20"/>
      <c r="D4029" s="20">
        <v>0.12</v>
      </c>
      <c r="E4029" s="19">
        <v>0.2</v>
      </c>
      <c r="F4029" s="20">
        <f>+F4026</f>
        <v>13.72</v>
      </c>
      <c r="G4029" s="20"/>
      <c r="H4029" s="20"/>
      <c r="I4029" s="20">
        <v>2</v>
      </c>
      <c r="J4029" s="19"/>
      <c r="K4029" s="17"/>
      <c r="L4029" s="649">
        <f t="shared" ref="L4029" si="288">PRODUCT(C4029:K4029)</f>
        <v>0.65856000000000003</v>
      </c>
    </row>
    <row r="4030" spans="2:12" ht="15">
      <c r="B4030" s="650"/>
      <c r="C4030" s="20"/>
      <c r="D4030" s="20"/>
      <c r="E4030" s="19"/>
      <c r="F4030" s="20"/>
      <c r="G4030" s="20"/>
      <c r="H4030" s="20"/>
      <c r="I4030" s="20"/>
      <c r="J4030" s="19"/>
      <c r="K4030" s="17"/>
      <c r="L4030" s="649"/>
    </row>
    <row r="4031" spans="2:12" ht="15">
      <c r="B4031" s="648" t="s">
        <v>528</v>
      </c>
      <c r="C4031" s="20"/>
      <c r="D4031" s="20">
        <v>0.12</v>
      </c>
      <c r="E4031" s="19">
        <v>0.2</v>
      </c>
      <c r="F4031" s="20">
        <v>14</v>
      </c>
      <c r="G4031" s="20"/>
      <c r="H4031" s="19"/>
      <c r="I4031" s="20"/>
      <c r="J4031" s="19">
        <v>2</v>
      </c>
      <c r="K4031" s="17"/>
      <c r="L4031" s="649">
        <f t="shared" ref="L4031:L4035" si="289">PRODUCT(C4031:K4031)</f>
        <v>0.67200000000000004</v>
      </c>
    </row>
    <row r="4032" spans="2:12" ht="15">
      <c r="B4032" s="648" t="s">
        <v>529</v>
      </c>
      <c r="C4032" s="20"/>
      <c r="D4032" s="20">
        <v>0.12</v>
      </c>
      <c r="E4032" s="19">
        <v>0.2</v>
      </c>
      <c r="F4032" s="20">
        <v>14</v>
      </c>
      <c r="G4032" s="20"/>
      <c r="H4032" s="19"/>
      <c r="I4032" s="20"/>
      <c r="J4032" s="19"/>
      <c r="K4032" s="17"/>
      <c r="L4032" s="649">
        <f t="shared" si="289"/>
        <v>0.33600000000000002</v>
      </c>
    </row>
    <row r="4033" spans="2:12" ht="15">
      <c r="B4033" s="648" t="s">
        <v>530</v>
      </c>
      <c r="C4033" s="20"/>
      <c r="D4033" s="20">
        <v>0.12</v>
      </c>
      <c r="E4033" s="19">
        <v>0.2</v>
      </c>
      <c r="F4033" s="20">
        <v>14</v>
      </c>
      <c r="G4033" s="20"/>
      <c r="H4033" s="19"/>
      <c r="I4033" s="20"/>
      <c r="J4033" s="19"/>
      <c r="K4033" s="17"/>
      <c r="L4033" s="649">
        <f t="shared" si="289"/>
        <v>0.33600000000000002</v>
      </c>
    </row>
    <row r="4034" spans="2:12" ht="15">
      <c r="B4034" s="650"/>
      <c r="C4034" s="20"/>
      <c r="D4034" s="20"/>
      <c r="E4034" s="19"/>
      <c r="F4034" s="20"/>
      <c r="G4034" s="20"/>
      <c r="H4034" s="20"/>
      <c r="I4034" s="20"/>
      <c r="J4034" s="19"/>
      <c r="K4034" s="17"/>
      <c r="L4034" s="649"/>
    </row>
    <row r="4035" spans="2:12" ht="15">
      <c r="B4035" s="650" t="s">
        <v>526</v>
      </c>
      <c r="C4035" s="20">
        <f>-L4002</f>
        <v>-43.399999999999991</v>
      </c>
      <c r="D4035" s="20">
        <v>0.12</v>
      </c>
      <c r="E4035" s="20">
        <v>0.2</v>
      </c>
      <c r="F4035" s="20"/>
      <c r="G4035" s="20"/>
      <c r="H4035" s="19"/>
      <c r="I4035" s="20"/>
      <c r="J4035" s="19"/>
      <c r="K4035" s="17"/>
      <c r="L4035" s="649">
        <f t="shared" si="289"/>
        <v>-1.0415999999999996</v>
      </c>
    </row>
    <row r="4036" spans="2:12" ht="15">
      <c r="B4036" s="842"/>
      <c r="C4036" s="459"/>
      <c r="D4036" s="459"/>
      <c r="E4036" s="459"/>
      <c r="F4036" s="459"/>
      <c r="G4036" s="459"/>
      <c r="H4036" s="460"/>
      <c r="I4036" s="459"/>
      <c r="J4036" s="460"/>
      <c r="K4036" s="461"/>
      <c r="L4036" s="761"/>
    </row>
    <row r="4037" spans="2:12" ht="15">
      <c r="B4037" s="842"/>
      <c r="C4037" s="459"/>
      <c r="D4037" s="459"/>
      <c r="E4037" s="459"/>
      <c r="F4037" s="459"/>
      <c r="G4037" s="459"/>
      <c r="H4037" s="460"/>
      <c r="I4037" s="459"/>
      <c r="J4037" s="460"/>
      <c r="K4037" s="461"/>
      <c r="L4037" s="761"/>
    </row>
    <row r="4038" spans="2:12" ht="15">
      <c r="B4038" s="650" t="s">
        <v>909</v>
      </c>
      <c r="C4038" s="20"/>
      <c r="D4038" s="20"/>
      <c r="E4038" s="20"/>
      <c r="F4038" s="20">
        <v>38.200000000000003</v>
      </c>
      <c r="G4038" s="20"/>
      <c r="H4038" s="20"/>
      <c r="I4038" s="20"/>
      <c r="J4038" s="19">
        <v>2</v>
      </c>
      <c r="K4038" s="17"/>
      <c r="L4038" s="649">
        <f t="shared" ref="L4038:L4041" si="290">PRODUCT(C4038:K4038)</f>
        <v>76.400000000000006</v>
      </c>
    </row>
    <row r="4039" spans="2:12" ht="15">
      <c r="B4039" s="650" t="s">
        <v>910</v>
      </c>
      <c r="C4039" s="20"/>
      <c r="D4039" s="20"/>
      <c r="E4039" s="20"/>
      <c r="F4039" s="20">
        <v>40</v>
      </c>
      <c r="G4039" s="20"/>
      <c r="H4039" s="20"/>
      <c r="I4039" s="20"/>
      <c r="J4039" s="19">
        <v>4</v>
      </c>
      <c r="K4039" s="17"/>
      <c r="L4039" s="649">
        <f t="shared" si="290"/>
        <v>160</v>
      </c>
    </row>
    <row r="4040" spans="2:12" ht="15">
      <c r="B4040" s="650" t="s">
        <v>911</v>
      </c>
      <c r="C4040" s="20"/>
      <c r="D4040" s="20"/>
      <c r="E4040" s="20"/>
      <c r="F4040" s="20">
        <v>33</v>
      </c>
      <c r="G4040" s="20"/>
      <c r="H4040" s="20"/>
      <c r="I4040" s="20"/>
      <c r="J4040" s="19">
        <v>4</v>
      </c>
      <c r="K4040" s="17"/>
      <c r="L4040" s="649">
        <f t="shared" si="290"/>
        <v>132</v>
      </c>
    </row>
    <row r="4041" spans="2:12" ht="15">
      <c r="B4041" s="650" t="s">
        <v>912</v>
      </c>
      <c r="C4041" s="20"/>
      <c r="D4041" s="20"/>
      <c r="E4041" s="20"/>
      <c r="F4041" s="20">
        <v>25.2</v>
      </c>
      <c r="G4041" s="20"/>
      <c r="H4041" s="20"/>
      <c r="I4041" s="20"/>
      <c r="J4041" s="19">
        <v>2</v>
      </c>
      <c r="K4041" s="17"/>
      <c r="L4041" s="649">
        <f t="shared" si="290"/>
        <v>50.4</v>
      </c>
    </row>
    <row r="4042" spans="2:12" ht="15">
      <c r="B4042" s="842"/>
      <c r="C4042" s="459"/>
      <c r="D4042" s="459"/>
      <c r="E4042" s="459"/>
      <c r="F4042" s="459"/>
      <c r="G4042" s="459"/>
      <c r="H4042" s="460"/>
      <c r="I4042" s="459"/>
      <c r="J4042" s="460"/>
      <c r="K4042" s="461"/>
      <c r="L4042" s="761"/>
    </row>
    <row r="4043" spans="2:12" ht="15.75">
      <c r="B4043" s="756"/>
      <c r="C4043" s="757"/>
      <c r="D4043" s="757"/>
      <c r="E4043" s="757"/>
      <c r="F4043" s="757"/>
      <c r="G4043" s="757"/>
      <c r="H4043" s="757"/>
      <c r="I4043" s="757"/>
      <c r="J4043" s="757"/>
      <c r="K4043" s="757"/>
      <c r="L4043" s="758"/>
    </row>
    <row r="4044" spans="2:12" ht="15.6" customHeight="1">
      <c r="B4044" s="638" t="s">
        <v>398</v>
      </c>
      <c r="C4044" s="8">
        <v>5</v>
      </c>
      <c r="D4044" s="1008" t="s">
        <v>1029</v>
      </c>
      <c r="E4044" s="1009"/>
      <c r="F4044" s="1009"/>
      <c r="G4044" s="1009"/>
      <c r="H4044" s="1009"/>
      <c r="I4044" s="1009"/>
      <c r="J4044" s="1009"/>
      <c r="K4044" s="1009"/>
      <c r="L4044" s="1010"/>
    </row>
    <row r="4045" spans="2:12" ht="15">
      <c r="B4045" s="1005"/>
      <c r="C4045" s="1006"/>
      <c r="D4045" s="1006"/>
      <c r="E4045" s="1006"/>
      <c r="F4045" s="1006"/>
      <c r="G4045" s="1006"/>
      <c r="H4045" s="1006"/>
      <c r="I4045" s="1006"/>
      <c r="J4045" s="1006"/>
      <c r="K4045" s="1006"/>
      <c r="L4045" s="1007"/>
    </row>
    <row r="4046" spans="2:12" ht="63">
      <c r="B4046" s="733" t="s">
        <v>399</v>
      </c>
      <c r="C4046" s="25">
        <f>+'PROPUESTA ECONOMICA(Proponente)'!C430</f>
        <v>5.6</v>
      </c>
      <c r="D4046" s="12" t="str">
        <f>+VLOOKUP('MEMORIAS DE CANTIDADES'!C4046,'PROPUESTA ECONOMICA(Proponente)'!$C$379:$H$661,5,FALSE)</f>
        <v>Mesón de lavamanos A 0.60 mts, fabricado en sitio con láminas de granito San Gabriel o similar acabado brillante. (Incluye suministro y mortero de fijación)</v>
      </c>
      <c r="E4046" s="13"/>
      <c r="F4046" s="12"/>
      <c r="G4046" s="12"/>
      <c r="H4046" s="12"/>
      <c r="I4046" s="11" t="s">
        <v>400</v>
      </c>
      <c r="J4046" s="12" t="str">
        <f>+VLOOKUP('MEMORIAS DE CANTIDADES'!C4046,'PROPUESTA ECONOMICA(Proponente)'!$C$379:$H$661,6,FALSE)</f>
        <v>ml</v>
      </c>
      <c r="K4046" s="11" t="s">
        <v>401</v>
      </c>
      <c r="L4046" s="643">
        <f>SUM(L4047:L4056)</f>
        <v>41</v>
      </c>
    </row>
    <row r="4047" spans="2:12" ht="15">
      <c r="B4047" s="644"/>
      <c r="C4047" s="16"/>
      <c r="D4047" s="15"/>
      <c r="E4047" s="15"/>
      <c r="F4047" s="15"/>
      <c r="G4047" s="15"/>
      <c r="H4047" s="15"/>
      <c r="I4047" s="15"/>
      <c r="J4047" s="15"/>
      <c r="K4047" s="17"/>
      <c r="L4047" s="645"/>
    </row>
    <row r="4048" spans="2:12" ht="47.25">
      <c r="B4048" s="646" t="s">
        <v>402</v>
      </c>
      <c r="C4048" s="18" t="s">
        <v>403</v>
      </c>
      <c r="D4048" s="18" t="s">
        <v>404</v>
      </c>
      <c r="E4048" s="18" t="s">
        <v>405</v>
      </c>
      <c r="F4048" s="18" t="s">
        <v>406</v>
      </c>
      <c r="G4048" s="18" t="s">
        <v>407</v>
      </c>
      <c r="H4048" s="5" t="s">
        <v>408</v>
      </c>
      <c r="I4048" s="18" t="s">
        <v>409</v>
      </c>
      <c r="J4048" s="5" t="s">
        <v>410</v>
      </c>
      <c r="K4048" s="5" t="s">
        <v>411</v>
      </c>
      <c r="L4048" s="647" t="s">
        <v>412</v>
      </c>
    </row>
    <row r="4049" spans="2:12" ht="15">
      <c r="B4049" s="648"/>
      <c r="C4049" s="19"/>
      <c r="D4049" s="19"/>
      <c r="E4049" s="19"/>
      <c r="F4049" s="19"/>
      <c r="G4049" s="20"/>
      <c r="H4049" s="68"/>
      <c r="I4049" s="17"/>
      <c r="J4049" s="28"/>
      <c r="K4049" s="17"/>
      <c r="L4049" s="649"/>
    </row>
    <row r="4050" spans="2:12" ht="15">
      <c r="B4050" s="648" t="s">
        <v>544</v>
      </c>
      <c r="C4050" s="19"/>
      <c r="D4050" s="19"/>
      <c r="E4050" s="19"/>
      <c r="F4050" s="19">
        <v>4.0999999999999996</v>
      </c>
      <c r="G4050" s="20"/>
      <c r="H4050" s="68"/>
      <c r="I4050" s="17"/>
      <c r="J4050" s="28">
        <v>2</v>
      </c>
      <c r="K4050" s="17"/>
      <c r="L4050" s="649">
        <f>PRODUCT(C4050:K4050)</f>
        <v>8.1999999999999993</v>
      </c>
    </row>
    <row r="4051" spans="2:12" ht="15">
      <c r="B4051" s="648" t="s">
        <v>541</v>
      </c>
      <c r="C4051" s="19"/>
      <c r="D4051" s="19"/>
      <c r="E4051" s="19"/>
      <c r="F4051" s="19">
        <v>4.0999999999999996</v>
      </c>
      <c r="G4051" s="20"/>
      <c r="H4051" s="68"/>
      <c r="I4051" s="17"/>
      <c r="J4051" s="28">
        <v>2</v>
      </c>
      <c r="K4051" s="17"/>
      <c r="L4051" s="649">
        <f>PRODUCT(C4051:K4051)</f>
        <v>8.1999999999999993</v>
      </c>
    </row>
    <row r="4052" spans="2:12" ht="15">
      <c r="B4052" s="751" t="s">
        <v>852</v>
      </c>
      <c r="C4052" s="20"/>
      <c r="D4052" s="19"/>
      <c r="E4052" s="19"/>
      <c r="F4052" s="19">
        <v>4.0999999999999996</v>
      </c>
      <c r="G4052" s="20"/>
      <c r="H4052" s="68"/>
      <c r="I4052" s="28">
        <v>3</v>
      </c>
      <c r="J4052" s="28">
        <v>2</v>
      </c>
      <c r="K4052" s="17"/>
      <c r="L4052" s="649">
        <f>PRODUCT(C4052:K4052)</f>
        <v>24.599999999999998</v>
      </c>
    </row>
    <row r="4053" spans="2:12" ht="15">
      <c r="B4053" s="648"/>
      <c r="C4053" s="20"/>
      <c r="D4053" s="20"/>
      <c r="E4053" s="20"/>
      <c r="F4053" s="20"/>
      <c r="G4053" s="20"/>
      <c r="H4053" s="20"/>
      <c r="I4053" s="20"/>
      <c r="J4053" s="19"/>
      <c r="K4053" s="17"/>
      <c r="L4053" s="649"/>
    </row>
    <row r="4054" spans="2:12" ht="15">
      <c r="B4054" s="650"/>
      <c r="C4054" s="20"/>
      <c r="D4054" s="20"/>
      <c r="E4054" s="20"/>
      <c r="F4054" s="20"/>
      <c r="G4054" s="20"/>
      <c r="H4054" s="19"/>
      <c r="I4054" s="20"/>
      <c r="J4054" s="19"/>
      <c r="K4054" s="17"/>
      <c r="L4054" s="649"/>
    </row>
    <row r="4055" spans="2:12" ht="15">
      <c r="B4055" s="650"/>
      <c r="C4055" s="20"/>
      <c r="D4055" s="20"/>
      <c r="E4055" s="20"/>
      <c r="F4055" s="20"/>
      <c r="G4055" s="20"/>
      <c r="H4055" s="19"/>
      <c r="I4055" s="20"/>
      <c r="J4055" s="19"/>
      <c r="K4055" s="17"/>
      <c r="L4055" s="645"/>
    </row>
    <row r="4056" spans="2:12" ht="15.75">
      <c r="B4056" s="981" t="s">
        <v>414</v>
      </c>
      <c r="C4056" s="982"/>
      <c r="D4056" s="982"/>
      <c r="E4056" s="982"/>
      <c r="F4056" s="982"/>
      <c r="G4056" s="982"/>
      <c r="H4056" s="982"/>
      <c r="I4056" s="982"/>
      <c r="J4056" s="982"/>
      <c r="K4056" s="982"/>
      <c r="L4056" s="983"/>
    </row>
    <row r="4057" spans="2:12" ht="15.75">
      <c r="B4057" s="756"/>
      <c r="C4057" s="757"/>
      <c r="D4057" s="757"/>
      <c r="E4057" s="757"/>
      <c r="F4057" s="757"/>
      <c r="G4057" s="757"/>
      <c r="H4057" s="757"/>
      <c r="I4057" s="757"/>
      <c r="J4057" s="757"/>
      <c r="K4057" s="757"/>
      <c r="L4057" s="758"/>
    </row>
    <row r="4058" spans="2:12" ht="39" customHeight="1">
      <c r="B4058" s="638" t="s">
        <v>398</v>
      </c>
      <c r="C4058" s="8">
        <v>5</v>
      </c>
      <c r="D4058" s="1008" t="s">
        <v>1029</v>
      </c>
      <c r="E4058" s="1009"/>
      <c r="F4058" s="1009"/>
      <c r="G4058" s="1009"/>
      <c r="H4058" s="1009"/>
      <c r="I4058" s="1009"/>
      <c r="J4058" s="1014"/>
      <c r="K4058" s="27"/>
      <c r="L4058" s="750"/>
    </row>
    <row r="4059" spans="2:12" ht="15">
      <c r="B4059" s="1005"/>
      <c r="C4059" s="1006"/>
      <c r="D4059" s="1006"/>
      <c r="E4059" s="1006"/>
      <c r="F4059" s="1006"/>
      <c r="G4059" s="1006"/>
      <c r="H4059" s="1006"/>
      <c r="I4059" s="1006"/>
      <c r="J4059" s="1006"/>
      <c r="K4059" s="1006"/>
      <c r="L4059" s="1007"/>
    </row>
    <row r="4060" spans="2:12" ht="15.6" customHeight="1">
      <c r="B4060" s="653" t="s">
        <v>399</v>
      </c>
      <c r="C4060" s="25">
        <f>+'PROPUESTA ECONOMICA(Proponente)'!C431</f>
        <v>5.7</v>
      </c>
      <c r="D4060" s="12" t="str">
        <f>+VLOOKUP('MEMORIAS DE CANTIDADES'!C4060,'PROPUESTA ECONOMICA(Proponente)'!$C$379:$H$661,5,FALSE)</f>
        <v>MESONES EN CONCRETO A=0.60 mts. (incluye suministro, instalación de concreto 2500PSI, formaleta y refuerzo) e:0.10 m.</v>
      </c>
      <c r="E4060" s="13"/>
      <c r="F4060" s="12"/>
      <c r="G4060" s="12"/>
      <c r="H4060" s="12"/>
      <c r="I4060" s="11" t="s">
        <v>400</v>
      </c>
      <c r="J4060" s="12" t="str">
        <f>+VLOOKUP('MEMORIAS DE CANTIDADES'!C4060,'PROPUESTA ECONOMICA(Proponente)'!$C$379:$H$661,6,FALSE)</f>
        <v>m2</v>
      </c>
      <c r="K4060" s="11" t="s">
        <v>401</v>
      </c>
      <c r="L4060" s="643">
        <f>SUM(L4061:L4071)</f>
        <v>0</v>
      </c>
    </row>
    <row r="4061" spans="2:12" ht="15">
      <c r="B4061" s="644"/>
      <c r="C4061" s="16"/>
      <c r="D4061" s="15"/>
      <c r="E4061" s="15"/>
      <c r="F4061" s="15"/>
      <c r="G4061" s="15"/>
      <c r="H4061" s="15"/>
      <c r="I4061" s="15"/>
      <c r="J4061" s="15"/>
      <c r="K4061" s="17"/>
      <c r="L4061" s="645"/>
    </row>
    <row r="4062" spans="2:12" ht="47.25">
      <c r="B4062" s="646" t="s">
        <v>402</v>
      </c>
      <c r="C4062" s="18" t="s">
        <v>403</v>
      </c>
      <c r="D4062" s="18" t="s">
        <v>404</v>
      </c>
      <c r="E4062" s="18" t="s">
        <v>405</v>
      </c>
      <c r="F4062" s="18" t="s">
        <v>406</v>
      </c>
      <c r="G4062" s="18" t="s">
        <v>407</v>
      </c>
      <c r="H4062" s="5" t="s">
        <v>408</v>
      </c>
      <c r="I4062" s="18" t="s">
        <v>409</v>
      </c>
      <c r="J4062" s="5" t="s">
        <v>410</v>
      </c>
      <c r="K4062" s="5" t="s">
        <v>411</v>
      </c>
      <c r="L4062" s="647" t="s">
        <v>412</v>
      </c>
    </row>
    <row r="4063" spans="2:12" ht="15">
      <c r="B4063" s="648"/>
      <c r="C4063" s="20"/>
      <c r="D4063" s="20"/>
      <c r="E4063" s="20"/>
      <c r="F4063" s="20"/>
      <c r="G4063" s="20"/>
      <c r="H4063" s="20"/>
      <c r="I4063" s="20"/>
      <c r="J4063" s="19"/>
      <c r="K4063" s="17"/>
      <c r="L4063" s="649"/>
    </row>
    <row r="4064" spans="2:12" ht="15">
      <c r="B4064" s="650" t="s">
        <v>534</v>
      </c>
      <c r="C4064" s="20"/>
      <c r="D4064" s="20"/>
      <c r="E4064" s="20"/>
      <c r="F4064" s="20"/>
      <c r="G4064" s="20"/>
      <c r="H4064" s="19"/>
      <c r="I4064" s="20"/>
      <c r="J4064" s="19"/>
      <c r="K4064" s="17"/>
      <c r="L4064" s="649"/>
    </row>
    <row r="4065" spans="2:12" ht="15">
      <c r="B4065" s="650" t="s">
        <v>535</v>
      </c>
      <c r="C4065" s="20"/>
      <c r="D4065" s="20"/>
      <c r="E4065" s="20"/>
      <c r="F4065" s="20"/>
      <c r="G4065" s="20"/>
      <c r="H4065" s="19"/>
      <c r="I4065" s="20"/>
      <c r="J4065" s="19"/>
      <c r="K4065" s="17"/>
      <c r="L4065" s="649"/>
    </row>
    <row r="4066" spans="2:12" ht="15">
      <c r="B4066" s="650"/>
      <c r="C4066" s="20"/>
      <c r="D4066" s="20"/>
      <c r="E4066" s="20"/>
      <c r="F4066" s="20"/>
      <c r="G4066" s="20"/>
      <c r="H4066" s="19"/>
      <c r="I4066" s="20"/>
      <c r="J4066" s="19"/>
      <c r="K4066" s="17"/>
      <c r="L4066" s="649"/>
    </row>
    <row r="4067" spans="2:12" ht="15">
      <c r="B4067" s="650"/>
      <c r="C4067" s="20"/>
      <c r="D4067" s="20"/>
      <c r="E4067" s="20"/>
      <c r="F4067" s="20"/>
      <c r="G4067" s="20"/>
      <c r="H4067" s="19"/>
      <c r="I4067" s="20"/>
      <c r="J4067" s="19"/>
      <c r="K4067" s="17"/>
      <c r="L4067" s="649"/>
    </row>
    <row r="4068" spans="2:12" ht="15">
      <c r="B4068" s="650"/>
      <c r="C4068" s="20"/>
      <c r="D4068" s="20"/>
      <c r="E4068" s="20"/>
      <c r="F4068" s="20"/>
      <c r="G4068" s="20"/>
      <c r="H4068" s="19"/>
      <c r="I4068" s="20"/>
      <c r="J4068" s="19"/>
      <c r="K4068" s="17"/>
      <c r="L4068" s="649"/>
    </row>
    <row r="4069" spans="2:12" ht="15">
      <c r="B4069" s="650"/>
      <c r="C4069" s="20"/>
      <c r="D4069" s="20"/>
      <c r="E4069" s="20"/>
      <c r="F4069" s="20"/>
      <c r="G4069" s="20"/>
      <c r="H4069" s="19"/>
      <c r="I4069" s="20"/>
      <c r="J4069" s="19"/>
      <c r="K4069" s="17"/>
      <c r="L4069" s="649"/>
    </row>
    <row r="4070" spans="2:12" ht="15">
      <c r="B4070" s="650"/>
      <c r="C4070" s="20"/>
      <c r="D4070" s="20"/>
      <c r="E4070" s="20"/>
      <c r="F4070" s="20"/>
      <c r="G4070" s="20"/>
      <c r="H4070" s="19"/>
      <c r="I4070" s="20"/>
      <c r="J4070" s="19"/>
      <c r="K4070" s="17"/>
      <c r="L4070" s="645"/>
    </row>
    <row r="4071" spans="2:12" ht="15.75">
      <c r="B4071" s="981" t="s">
        <v>414</v>
      </c>
      <c r="C4071" s="982"/>
      <c r="D4071" s="982"/>
      <c r="E4071" s="982"/>
      <c r="F4071" s="982"/>
      <c r="G4071" s="982"/>
      <c r="H4071" s="982"/>
      <c r="I4071" s="982"/>
      <c r="J4071" s="982"/>
      <c r="K4071" s="982"/>
      <c r="L4071" s="983"/>
    </row>
    <row r="4072" spans="2:12">
      <c r="B4072" s="651"/>
      <c r="L4072" s="652"/>
    </row>
    <row r="4073" spans="2:12" ht="15.6" customHeight="1">
      <c r="B4073" s="638" t="s">
        <v>398</v>
      </c>
      <c r="C4073" s="8">
        <v>6</v>
      </c>
      <c r="D4073" s="1008" t="s">
        <v>1030</v>
      </c>
      <c r="E4073" s="1009"/>
      <c r="F4073" s="1009"/>
      <c r="G4073" s="1009"/>
      <c r="H4073" s="1009"/>
      <c r="I4073" s="1009"/>
      <c r="J4073" s="1009"/>
      <c r="K4073" s="1009"/>
      <c r="L4073" s="1010"/>
    </row>
    <row r="4074" spans="2:12" ht="15">
      <c r="B4074" s="1005"/>
      <c r="C4074" s="1006"/>
      <c r="D4074" s="1006"/>
      <c r="E4074" s="1006"/>
      <c r="F4074" s="1006"/>
      <c r="G4074" s="1006"/>
      <c r="H4074" s="1006"/>
      <c r="I4074" s="1006"/>
      <c r="J4074" s="1006"/>
      <c r="K4074" s="1006"/>
      <c r="L4074" s="1007"/>
    </row>
    <row r="4075" spans="2:12" ht="15.6" customHeight="1">
      <c r="B4075" s="653" t="s">
        <v>399</v>
      </c>
      <c r="C4075" s="11">
        <f>+'PROPUESTA ECONOMICA(Proponente)'!C434</f>
        <v>6.1</v>
      </c>
      <c r="D4075" s="12" t="str">
        <f>+VLOOKUP('MEMORIAS DE CANTIDADES'!C4075,'PROPUESTA ECONOMICA(Proponente)'!$C$379:$H$661,5,FALSE)</f>
        <v xml:space="preserve">EXCAVACIONES :Excavación manual, cimentación cerramiento </v>
      </c>
      <c r="E4075" s="13"/>
      <c r="F4075" s="12"/>
      <c r="G4075" s="12"/>
      <c r="H4075" s="12"/>
      <c r="I4075" s="11" t="s">
        <v>400</v>
      </c>
      <c r="J4075" s="12" t="str">
        <f>+VLOOKUP('MEMORIAS DE CANTIDADES'!C4075,'PROPUESTA ECONOMICA(Proponente)'!$C$379:$H$661,6,FALSE)</f>
        <v>m3</v>
      </c>
      <c r="K4075" s="11" t="s">
        <v>401</v>
      </c>
      <c r="L4075" s="643">
        <f>SUM(L4076:L4092)</f>
        <v>628.08025000000009</v>
      </c>
    </row>
    <row r="4076" spans="2:12" ht="15">
      <c r="B4076" s="644"/>
      <c r="C4076" s="16"/>
      <c r="D4076" s="15"/>
      <c r="E4076" s="15"/>
      <c r="F4076" s="15"/>
      <c r="G4076" s="15"/>
      <c r="H4076" s="15"/>
      <c r="I4076" s="15"/>
      <c r="J4076" s="15"/>
      <c r="K4076" s="17"/>
      <c r="L4076" s="645"/>
    </row>
    <row r="4077" spans="2:12" ht="47.25">
      <c r="B4077" s="733" t="s">
        <v>402</v>
      </c>
      <c r="C4077" s="18" t="s">
        <v>403</v>
      </c>
      <c r="D4077" s="18" t="s">
        <v>404</v>
      </c>
      <c r="E4077" s="18" t="s">
        <v>405</v>
      </c>
      <c r="F4077" s="18" t="s">
        <v>406</v>
      </c>
      <c r="G4077" s="18" t="s">
        <v>407</v>
      </c>
      <c r="H4077" s="5" t="s">
        <v>408</v>
      </c>
      <c r="I4077" s="18" t="s">
        <v>409</v>
      </c>
      <c r="J4077" s="5" t="s">
        <v>410</v>
      </c>
      <c r="K4077" s="5" t="s">
        <v>411</v>
      </c>
      <c r="L4077" s="647" t="s">
        <v>412</v>
      </c>
    </row>
    <row r="4078" spans="2:12" ht="16.5">
      <c r="B4078" s="658"/>
      <c r="C4078" s="18"/>
      <c r="D4078" s="18"/>
      <c r="E4078" s="18"/>
      <c r="G4078" s="18"/>
      <c r="H4078" s="5"/>
      <c r="I4078" s="41"/>
      <c r="J4078" s="46"/>
      <c r="K4078" s="5"/>
      <c r="L4078" s="649"/>
    </row>
    <row r="4079" spans="2:12" ht="30">
      <c r="B4079" s="734" t="s">
        <v>499</v>
      </c>
      <c r="C4079" s="19"/>
      <c r="D4079" s="19">
        <v>0.5</v>
      </c>
      <c r="E4079" s="48">
        <v>1</v>
      </c>
      <c r="F4079" s="47">
        <v>717</v>
      </c>
      <c r="G4079" s="57"/>
      <c r="H4079" s="21"/>
      <c r="I4079" s="55"/>
      <c r="J4079" s="56"/>
      <c r="K4079" s="5"/>
      <c r="L4079" s="649">
        <f>PRODUCT(C4079:K4079)</f>
        <v>358.5</v>
      </c>
    </row>
    <row r="4080" spans="2:12" ht="15.75">
      <c r="B4080" s="734"/>
      <c r="C4080" s="19"/>
      <c r="D4080" s="19"/>
      <c r="E4080" s="48"/>
      <c r="F4080" s="47"/>
      <c r="G4080" s="57"/>
      <c r="H4080" s="21"/>
      <c r="I4080" s="55"/>
      <c r="J4080" s="56"/>
      <c r="K4080" s="5"/>
      <c r="L4080" s="761"/>
    </row>
    <row r="4081" spans="2:12" ht="15.75">
      <c r="B4081" s="734" t="s">
        <v>500</v>
      </c>
      <c r="C4081" s="19"/>
      <c r="D4081" s="19"/>
      <c r="E4081" s="48"/>
      <c r="F4081" s="47"/>
      <c r="G4081" s="57"/>
      <c r="H4081" s="21"/>
      <c r="I4081" s="55"/>
      <c r="J4081" s="56"/>
      <c r="K4081" s="5"/>
      <c r="L4081" s="761"/>
    </row>
    <row r="4082" spans="2:12" ht="15">
      <c r="B4082" s="734" t="s">
        <v>461</v>
      </c>
      <c r="C4082" s="39"/>
      <c r="D4082" s="39"/>
      <c r="E4082" s="39"/>
      <c r="F4082" s="39"/>
      <c r="G4082" s="39"/>
      <c r="H4082" s="39"/>
      <c r="I4082" s="39"/>
      <c r="J4082" s="39"/>
      <c r="K4082" s="39"/>
      <c r="L4082" s="738"/>
    </row>
    <row r="4083" spans="2:12" ht="15.75">
      <c r="B4083" s="734" t="s">
        <v>435</v>
      </c>
      <c r="C4083" s="61"/>
      <c r="D4083" s="61">
        <v>1.2</v>
      </c>
      <c r="E4083" s="59">
        <v>1.6</v>
      </c>
      <c r="F4083" s="62">
        <v>0.8</v>
      </c>
      <c r="G4083" s="63"/>
      <c r="H4083" s="64"/>
      <c r="I4083" s="65" t="s">
        <v>1059</v>
      </c>
      <c r="J4083" s="66"/>
      <c r="K4083" s="52"/>
      <c r="L4083" s="649">
        <f>PRODUCT(C4083:K4083)</f>
        <v>1.536</v>
      </c>
    </row>
    <row r="4084" spans="2:12" ht="15.75">
      <c r="B4084" s="734" t="s">
        <v>501</v>
      </c>
      <c r="C4084" s="61"/>
      <c r="D4084" s="61">
        <v>0.25</v>
      </c>
      <c r="E4084" s="59">
        <v>1.3</v>
      </c>
      <c r="F4084" s="62">
        <v>2.21</v>
      </c>
      <c r="G4084" s="63"/>
      <c r="H4084" s="64"/>
      <c r="I4084" s="65">
        <f>ROUND(240.6/2.5,0)+1</f>
        <v>97</v>
      </c>
      <c r="J4084" s="66"/>
      <c r="K4084" s="52"/>
      <c r="L4084" s="649">
        <f>PRODUCT(C4084:K4084)</f>
        <v>69.67025000000001</v>
      </c>
    </row>
    <row r="4085" spans="2:12" ht="15.75">
      <c r="B4085" s="734"/>
      <c r="C4085" s="61"/>
      <c r="D4085" s="61"/>
      <c r="E4085" s="59"/>
      <c r="F4085" s="62"/>
      <c r="G4085" s="63"/>
      <c r="H4085" s="64"/>
      <c r="I4085" s="65"/>
      <c r="J4085" s="66"/>
      <c r="K4085" s="52"/>
      <c r="L4085" s="649"/>
    </row>
    <row r="4086" spans="2:12" ht="15.75">
      <c r="B4086" s="734"/>
      <c r="C4086" s="19"/>
      <c r="D4086" s="19"/>
      <c r="E4086" s="48"/>
      <c r="F4086" s="39"/>
      <c r="G4086" s="57"/>
      <c r="H4086" s="21"/>
      <c r="I4086" s="47"/>
      <c r="J4086" s="56"/>
      <c r="K4086" s="5"/>
      <c r="L4086" s="649"/>
    </row>
    <row r="4087" spans="2:12" ht="15">
      <c r="B4087" s="734" t="s">
        <v>462</v>
      </c>
      <c r="C4087" s="19"/>
      <c r="D4087" s="39"/>
      <c r="E4087" s="39"/>
      <c r="F4087" s="39"/>
      <c r="G4087" s="39"/>
      <c r="H4087" s="39"/>
      <c r="I4087" s="39"/>
      <c r="J4087" s="39"/>
      <c r="K4087" s="39"/>
      <c r="L4087" s="649"/>
    </row>
    <row r="4088" spans="2:12" ht="15.75">
      <c r="B4088" s="734" t="s">
        <v>435</v>
      </c>
      <c r="C4088" s="19"/>
      <c r="D4088" s="20">
        <v>1.2</v>
      </c>
      <c r="E4088" s="20">
        <v>1.6</v>
      </c>
      <c r="F4088" s="39">
        <v>0.8</v>
      </c>
      <c r="G4088" s="57"/>
      <c r="H4088" s="21"/>
      <c r="I4088" s="47">
        <f>ROUND(217.6/2.5,0)+1</f>
        <v>88</v>
      </c>
      <c r="J4088" s="56"/>
      <c r="K4088" s="5"/>
      <c r="L4088" s="649">
        <f>PRODUCT(C4088:K4088)</f>
        <v>135.16800000000001</v>
      </c>
    </row>
    <row r="4089" spans="2:12" ht="15">
      <c r="B4089" s="746" t="s">
        <v>501</v>
      </c>
      <c r="C4089" s="19"/>
      <c r="D4089" s="20">
        <v>0.25</v>
      </c>
      <c r="E4089" s="20">
        <v>1.3</v>
      </c>
      <c r="F4089" s="47">
        <v>2.21</v>
      </c>
      <c r="G4089" s="19"/>
      <c r="H4089" s="21"/>
      <c r="I4089" s="47">
        <f>ROUND(217.6/2.5,0)+1</f>
        <v>88</v>
      </c>
      <c r="J4089" s="56"/>
      <c r="K4089" s="17"/>
      <c r="L4089" s="649">
        <f>PRODUCT(C4089:K4089)</f>
        <v>63.206000000000003</v>
      </c>
    </row>
    <row r="4090" spans="2:12" ht="15">
      <c r="B4090" s="740"/>
      <c r="C4090" s="19"/>
      <c r="D4090" s="20"/>
      <c r="E4090" s="20"/>
      <c r="F4090" s="47"/>
      <c r="G4090" s="57"/>
      <c r="H4090" s="21"/>
      <c r="I4090" s="55"/>
      <c r="J4090" s="56"/>
      <c r="K4090" s="17"/>
      <c r="L4090" s="649"/>
    </row>
    <row r="4091" spans="2:12" ht="16.5">
      <c r="B4091" s="731"/>
      <c r="C4091" s="19"/>
      <c r="D4091" s="20"/>
      <c r="E4091" s="20"/>
      <c r="F4091" s="47"/>
      <c r="G4091" s="20"/>
      <c r="H4091" s="21"/>
      <c r="I4091" s="41"/>
      <c r="J4091" s="46"/>
      <c r="K4091" s="17"/>
      <c r="L4091" s="649"/>
    </row>
    <row r="4092" spans="2:12" ht="15.75">
      <c r="B4092" s="981" t="s">
        <v>414</v>
      </c>
      <c r="C4092" s="982"/>
      <c r="D4092" s="982"/>
      <c r="E4092" s="982"/>
      <c r="F4092" s="982"/>
      <c r="G4092" s="982"/>
      <c r="H4092" s="982"/>
      <c r="I4092" s="982"/>
      <c r="J4092" s="982"/>
      <c r="K4092" s="982"/>
      <c r="L4092" s="983"/>
    </row>
    <row r="4093" spans="2:12">
      <c r="B4093" s="651"/>
      <c r="L4093" s="652"/>
    </row>
    <row r="4094" spans="2:12" ht="15.6" customHeight="1">
      <c r="B4094" s="638" t="s">
        <v>398</v>
      </c>
      <c r="C4094" s="8">
        <v>6</v>
      </c>
      <c r="D4094" s="1008" t="s">
        <v>1030</v>
      </c>
      <c r="E4094" s="1009"/>
      <c r="F4094" s="1009"/>
      <c r="G4094" s="1009"/>
      <c r="H4094" s="1009"/>
      <c r="I4094" s="1009"/>
      <c r="J4094" s="1009"/>
      <c r="K4094" s="1009"/>
      <c r="L4094" s="1010"/>
    </row>
    <row r="4095" spans="2:12" ht="15">
      <c r="B4095" s="1005"/>
      <c r="C4095" s="1006"/>
      <c r="D4095" s="1006"/>
      <c r="E4095" s="1006"/>
      <c r="F4095" s="1006"/>
      <c r="G4095" s="1006"/>
      <c r="H4095" s="1006"/>
      <c r="I4095" s="1006"/>
      <c r="J4095" s="1006"/>
      <c r="K4095" s="1006"/>
      <c r="L4095" s="1007"/>
    </row>
    <row r="4096" spans="2:12" ht="31.5">
      <c r="B4096" s="733" t="s">
        <v>399</v>
      </c>
      <c r="C4096" s="11">
        <f>+'PROPUESTA ECONOMICA(Proponente)'!C435</f>
        <v>6.2</v>
      </c>
      <c r="D4096" s="12" t="str">
        <f>+VLOOKUP('MEMORIAS DE CANTIDADES'!C4096,'PROPUESTA ECONOMICA(Proponente)'!$C$379:$H$661,5,FALSE)</f>
        <v>Concreto ciclópeo 3000 psi, relación 60%C/40%P.  (Incluye suministro y colocación)</v>
      </c>
      <c r="E4096" s="13"/>
      <c r="F4096" s="12"/>
      <c r="G4096" s="12"/>
      <c r="H4096" s="12"/>
      <c r="I4096" s="11" t="s">
        <v>400</v>
      </c>
      <c r="J4096" s="12" t="str">
        <f>+VLOOKUP('MEMORIAS DE CANTIDADES'!C4096,'PROPUESTA ECONOMICA(Proponente)'!$C$379:$H$661,6,FALSE)</f>
        <v>m3</v>
      </c>
      <c r="K4096" s="11" t="s">
        <v>401</v>
      </c>
      <c r="L4096" s="643">
        <f>SUM(L4099:L4107)</f>
        <v>124.97999999999999</v>
      </c>
    </row>
    <row r="4097" spans="2:12" ht="15">
      <c r="B4097" s="644"/>
      <c r="C4097" s="16"/>
      <c r="D4097" s="15"/>
      <c r="E4097" s="15"/>
      <c r="F4097" s="15"/>
      <c r="G4097" s="15"/>
      <c r="H4097" s="15"/>
      <c r="I4097" s="15"/>
      <c r="J4097" s="15"/>
      <c r="K4097" s="17"/>
      <c r="L4097" s="645"/>
    </row>
    <row r="4098" spans="2:12" ht="47.25">
      <c r="B4098" s="646" t="s">
        <v>402</v>
      </c>
      <c r="C4098" s="18" t="s">
        <v>403</v>
      </c>
      <c r="D4098" s="18" t="s">
        <v>404</v>
      </c>
      <c r="E4098" s="18" t="s">
        <v>405</v>
      </c>
      <c r="F4098" s="18" t="s">
        <v>406</v>
      </c>
      <c r="G4098" s="18" t="s">
        <v>407</v>
      </c>
      <c r="H4098" s="5" t="s">
        <v>408</v>
      </c>
      <c r="I4098" s="18" t="s">
        <v>409</v>
      </c>
      <c r="J4098" s="5" t="s">
        <v>410</v>
      </c>
      <c r="K4098" s="5" t="s">
        <v>411</v>
      </c>
      <c r="L4098" s="647" t="s">
        <v>412</v>
      </c>
    </row>
    <row r="4099" spans="2:12" ht="15">
      <c r="B4099" s="734"/>
      <c r="C4099" s="19"/>
      <c r="D4099" s="39"/>
      <c r="E4099" s="39"/>
      <c r="F4099" s="39"/>
      <c r="G4099" s="39"/>
      <c r="H4099" s="39"/>
      <c r="I4099" s="39"/>
      <c r="J4099" s="39"/>
      <c r="K4099" s="39"/>
      <c r="L4099" s="649"/>
    </row>
    <row r="4100" spans="2:12" ht="30">
      <c r="B4100" s="734" t="s">
        <v>499</v>
      </c>
      <c r="C4100" s="19"/>
      <c r="D4100" s="19">
        <v>0.5</v>
      </c>
      <c r="E4100" s="48">
        <v>0.2</v>
      </c>
      <c r="F4100" s="47">
        <v>717</v>
      </c>
      <c r="G4100" s="57"/>
      <c r="H4100" s="21"/>
      <c r="I4100" s="55"/>
      <c r="J4100" s="56"/>
      <c r="K4100" s="17"/>
      <c r="L4100" s="649">
        <f>PRODUCT(C4100:K4100)</f>
        <v>71.7</v>
      </c>
    </row>
    <row r="4101" spans="2:12" ht="15">
      <c r="B4101" s="734"/>
      <c r="C4101" s="19"/>
      <c r="D4101" s="19"/>
      <c r="E4101" s="59"/>
      <c r="F4101" s="47"/>
      <c r="G4101" s="57"/>
      <c r="H4101" s="21"/>
      <c r="I4101" s="55"/>
      <c r="J4101" s="56"/>
      <c r="K4101" s="17"/>
      <c r="L4101" s="649"/>
    </row>
    <row r="4102" spans="2:12" ht="15">
      <c r="B4102" s="734" t="s">
        <v>500</v>
      </c>
      <c r="C4102" s="19"/>
      <c r="D4102" s="19"/>
      <c r="E4102" s="59"/>
      <c r="F4102" s="47"/>
      <c r="G4102" s="57"/>
      <c r="H4102" s="21"/>
      <c r="I4102" s="55"/>
      <c r="J4102" s="56"/>
      <c r="K4102" s="17"/>
      <c r="L4102" s="649"/>
    </row>
    <row r="4103" spans="2:12" ht="15">
      <c r="B4103" s="734" t="s">
        <v>461</v>
      </c>
      <c r="C4103" s="19"/>
      <c r="D4103" s="19">
        <v>1.2</v>
      </c>
      <c r="E4103" s="59">
        <v>0.3</v>
      </c>
      <c r="F4103" s="137">
        <v>0.8</v>
      </c>
      <c r="G4103" s="57"/>
      <c r="H4103" s="21"/>
      <c r="I4103" s="47">
        <f>ROUND(240.6/2.5,0)+1</f>
        <v>97</v>
      </c>
      <c r="J4103" s="56"/>
      <c r="K4103" s="17"/>
      <c r="L4103" s="649">
        <f t="shared" ref="L4103:L4104" si="291">PRODUCT(C4103:K4103)</f>
        <v>27.935999999999996</v>
      </c>
    </row>
    <row r="4104" spans="2:12" ht="15">
      <c r="B4104" s="734" t="s">
        <v>462</v>
      </c>
      <c r="C4104" s="19"/>
      <c r="D4104" s="19">
        <v>1.2</v>
      </c>
      <c r="E4104" s="19">
        <v>0.3</v>
      </c>
      <c r="F4104" s="137">
        <v>0.8</v>
      </c>
      <c r="G4104" s="57"/>
      <c r="H4104" s="21"/>
      <c r="I4104" s="47">
        <f>ROUND(217.6/2.5,0)+1</f>
        <v>88</v>
      </c>
      <c r="J4104" s="56"/>
      <c r="K4104" s="17"/>
      <c r="L4104" s="649">
        <f t="shared" si="291"/>
        <v>25.343999999999998</v>
      </c>
    </row>
    <row r="4105" spans="2:12" ht="15">
      <c r="B4105" s="734"/>
      <c r="C4105" s="19"/>
      <c r="D4105" s="20"/>
      <c r="E4105" s="20"/>
      <c r="F4105" s="47"/>
      <c r="G4105" s="57"/>
      <c r="H4105" s="21"/>
      <c r="I4105" s="55"/>
      <c r="J4105" s="56"/>
      <c r="K4105" s="17"/>
      <c r="L4105" s="649"/>
    </row>
    <row r="4106" spans="2:12" ht="16.5">
      <c r="B4106" s="734"/>
      <c r="C4106" s="19"/>
      <c r="D4106" s="20"/>
      <c r="E4106" s="20"/>
      <c r="F4106" s="47"/>
      <c r="G4106" s="20"/>
      <c r="H4106" s="21"/>
      <c r="I4106" s="41"/>
      <c r="J4106" s="46"/>
      <c r="K4106" s="17"/>
      <c r="L4106" s="649"/>
    </row>
    <row r="4107" spans="2:12" ht="15.75">
      <c r="B4107" s="981" t="s">
        <v>414</v>
      </c>
      <c r="C4107" s="982"/>
      <c r="D4107" s="982"/>
      <c r="E4107" s="982"/>
      <c r="F4107" s="982"/>
      <c r="G4107" s="982"/>
      <c r="H4107" s="982"/>
      <c r="I4107" s="982"/>
      <c r="J4107" s="982"/>
      <c r="K4107" s="982"/>
      <c r="L4107" s="983"/>
    </row>
    <row r="4108" spans="2:12">
      <c r="B4108" s="651"/>
      <c r="L4108" s="652"/>
    </row>
    <row r="4109" spans="2:12" ht="15.6" customHeight="1">
      <c r="B4109" s="638" t="s">
        <v>398</v>
      </c>
      <c r="C4109" s="8">
        <v>6</v>
      </c>
      <c r="D4109" s="1008" t="s">
        <v>1030</v>
      </c>
      <c r="E4109" s="1009"/>
      <c r="F4109" s="1009"/>
      <c r="G4109" s="1009"/>
      <c r="H4109" s="1009"/>
      <c r="I4109" s="1009"/>
      <c r="J4109" s="1009"/>
      <c r="K4109" s="1009"/>
      <c r="L4109" s="1010"/>
    </row>
    <row r="4110" spans="2:12" ht="15">
      <c r="B4110" s="1005"/>
      <c r="C4110" s="1006"/>
      <c r="D4110" s="1006"/>
      <c r="E4110" s="1006"/>
      <c r="F4110" s="1006"/>
      <c r="G4110" s="1006"/>
      <c r="H4110" s="1006"/>
      <c r="I4110" s="1006"/>
      <c r="J4110" s="1006"/>
      <c r="K4110" s="1006"/>
      <c r="L4110" s="1007"/>
    </row>
    <row r="4111" spans="2:12" ht="78.75">
      <c r="B4111" s="733" t="s">
        <v>399</v>
      </c>
      <c r="C4111" s="11">
        <f>+'PROPUESTA ECONOMICA(Proponente)'!C436</f>
        <v>6.3</v>
      </c>
      <c r="D4111" s="12" t="str">
        <f>+VLOOKUP('MEMORIAS DE CANTIDADES'!C4111,'PROPUESTA ECONOMICA(Proponente)'!$C$379:$H$661,5,FALSE)</f>
        <v>RELLENO SELECCIONADO: Relleno compactado para área cimentaciones, con material seleccionado, zahorra al 95% del proctor estándar en cimentación. (suministro, humedecimiento y compactación)</v>
      </c>
      <c r="E4111" s="13"/>
      <c r="F4111" s="12"/>
      <c r="G4111" s="12"/>
      <c r="H4111" s="12"/>
      <c r="I4111" s="11" t="s">
        <v>400</v>
      </c>
      <c r="J4111" s="12" t="str">
        <f>+VLOOKUP('MEMORIAS DE CANTIDADES'!C4111,'PROPUESTA ECONOMICA(Proponente)'!$C$379:$H$661,6,FALSE)</f>
        <v>m3</v>
      </c>
      <c r="K4111" s="11" t="s">
        <v>401</v>
      </c>
      <c r="L4111" s="643">
        <f>SUM(L4112:L4123)</f>
        <v>112.43375</v>
      </c>
    </row>
    <row r="4112" spans="2:12" ht="15">
      <c r="B4112" s="644"/>
      <c r="C4112" s="16"/>
      <c r="D4112" s="15"/>
      <c r="E4112" s="15"/>
      <c r="F4112" s="15"/>
      <c r="G4112" s="15"/>
      <c r="H4112" s="15"/>
      <c r="I4112" s="15"/>
      <c r="J4112" s="15"/>
      <c r="K4112" s="17"/>
      <c r="L4112" s="645"/>
    </row>
    <row r="4113" spans="2:12" ht="47.25">
      <c r="B4113" s="646" t="s">
        <v>402</v>
      </c>
      <c r="C4113" s="18" t="s">
        <v>403</v>
      </c>
      <c r="D4113" s="18" t="s">
        <v>404</v>
      </c>
      <c r="E4113" s="18" t="s">
        <v>405</v>
      </c>
      <c r="F4113" s="18" t="s">
        <v>406</v>
      </c>
      <c r="G4113" s="18" t="s">
        <v>407</v>
      </c>
      <c r="H4113" s="5" t="s">
        <v>408</v>
      </c>
      <c r="I4113" s="18" t="s">
        <v>409</v>
      </c>
      <c r="J4113" s="5" t="s">
        <v>410</v>
      </c>
      <c r="K4113" s="5" t="s">
        <v>411</v>
      </c>
      <c r="L4113" s="647" t="s">
        <v>412</v>
      </c>
    </row>
    <row r="4114" spans="2:12" ht="15.75">
      <c r="B4114" s="734" t="s">
        <v>500</v>
      </c>
      <c r="C4114" s="19"/>
      <c r="D4114" s="19"/>
      <c r="E4114" s="48"/>
      <c r="F4114" s="47"/>
      <c r="G4114" s="57"/>
      <c r="H4114" s="21"/>
      <c r="I4114" s="55"/>
      <c r="J4114" s="56"/>
      <c r="K4114" s="5"/>
      <c r="L4114" s="761"/>
    </row>
    <row r="4115" spans="2:12" ht="15">
      <c r="B4115" s="734" t="s">
        <v>461</v>
      </c>
      <c r="C4115" s="39"/>
      <c r="D4115" s="39"/>
      <c r="E4115" s="39"/>
      <c r="F4115" s="39"/>
      <c r="G4115" s="39"/>
      <c r="H4115" s="39"/>
      <c r="I4115" s="39"/>
      <c r="J4115" s="39"/>
      <c r="K4115" s="39"/>
      <c r="L4115" s="738"/>
    </row>
    <row r="4116" spans="2:12" ht="15">
      <c r="B4116" s="734" t="s">
        <v>501</v>
      </c>
      <c r="C4116" s="61"/>
      <c r="D4116" s="61">
        <v>0.25</v>
      </c>
      <c r="E4116" s="59"/>
      <c r="F4116" s="368">
        <v>2.21</v>
      </c>
      <c r="G4116" s="63"/>
      <c r="H4116" s="64"/>
      <c r="I4116" s="65">
        <f>ROUND(240.6/2.5,0)+1</f>
        <v>97</v>
      </c>
      <c r="J4116" s="66"/>
      <c r="K4116" s="39">
        <v>1.1000000000000001</v>
      </c>
      <c r="L4116" s="649">
        <f>PRODUCT(C4116:K4116)</f>
        <v>58.951750000000004</v>
      </c>
    </row>
    <row r="4117" spans="2:12" ht="15">
      <c r="B4117" s="734"/>
      <c r="C4117" s="61"/>
      <c r="D4117" s="61"/>
      <c r="E4117" s="59"/>
      <c r="F4117" s="62"/>
      <c r="G4117" s="63"/>
      <c r="H4117" s="64"/>
      <c r="I4117" s="65"/>
      <c r="J4117" s="66"/>
      <c r="K4117" s="39"/>
      <c r="L4117" s="649"/>
    </row>
    <row r="4118" spans="2:12" ht="15">
      <c r="B4118" s="734"/>
      <c r="C4118" s="19"/>
      <c r="D4118" s="19"/>
      <c r="E4118" s="48"/>
      <c r="F4118" s="39"/>
      <c r="G4118" s="57"/>
      <c r="H4118" s="21"/>
      <c r="I4118" s="47"/>
      <c r="J4118" s="56"/>
      <c r="K4118" s="39"/>
      <c r="L4118" s="649"/>
    </row>
    <row r="4119" spans="2:12" ht="15">
      <c r="B4119" s="734" t="s">
        <v>462</v>
      </c>
      <c r="C4119" s="19"/>
      <c r="D4119" s="39"/>
      <c r="E4119" s="39"/>
      <c r="F4119" s="39"/>
      <c r="G4119" s="39"/>
      <c r="H4119" s="39"/>
      <c r="I4119" s="39"/>
      <c r="J4119" s="39"/>
      <c r="K4119" s="39"/>
      <c r="L4119" s="649"/>
    </row>
    <row r="4120" spans="2:12" ht="15">
      <c r="B4120" s="746" t="s">
        <v>501</v>
      </c>
      <c r="C4120" s="19"/>
      <c r="D4120" s="20">
        <v>0.25</v>
      </c>
      <c r="E4120" s="20"/>
      <c r="F4120" s="47">
        <v>2.21</v>
      </c>
      <c r="G4120" s="19"/>
      <c r="H4120" s="21"/>
      <c r="I4120" s="47">
        <f>ROUND(217.6/2.5,0)+1</f>
        <v>88</v>
      </c>
      <c r="J4120" s="56"/>
      <c r="K4120" s="39">
        <v>1.1000000000000001</v>
      </c>
      <c r="L4120" s="649">
        <f>PRODUCT(C4120:K4120)</f>
        <v>53.481999999999999</v>
      </c>
    </row>
    <row r="4121" spans="2:12" ht="15">
      <c r="B4121" s="740"/>
      <c r="C4121" s="19"/>
      <c r="D4121" s="20"/>
      <c r="E4121" s="20"/>
      <c r="F4121" s="47"/>
      <c r="G4121" s="57"/>
      <c r="H4121" s="21"/>
      <c r="I4121" s="55"/>
      <c r="J4121" s="56"/>
      <c r="K4121" s="17"/>
      <c r="L4121" s="649"/>
    </row>
    <row r="4122" spans="2:12" ht="16.5">
      <c r="B4122" s="731"/>
      <c r="C4122" s="19"/>
      <c r="D4122" s="20"/>
      <c r="E4122" s="20"/>
      <c r="F4122" s="47"/>
      <c r="G4122" s="20"/>
      <c r="H4122" s="21"/>
      <c r="I4122" s="41"/>
      <c r="J4122" s="46"/>
      <c r="K4122" s="17"/>
      <c r="L4122" s="649"/>
    </row>
    <row r="4123" spans="2:12" ht="15.75">
      <c r="B4123" s="981" t="s">
        <v>414</v>
      </c>
      <c r="C4123" s="982"/>
      <c r="D4123" s="982"/>
      <c r="E4123" s="982"/>
      <c r="F4123" s="982"/>
      <c r="G4123" s="982"/>
      <c r="H4123" s="982"/>
      <c r="I4123" s="982"/>
      <c r="J4123" s="982"/>
      <c r="K4123" s="982"/>
      <c r="L4123" s="983"/>
    </row>
    <row r="4124" spans="2:12">
      <c r="B4124" s="651"/>
      <c r="L4124" s="652"/>
    </row>
    <row r="4125" spans="2:12" ht="15.6" customHeight="1">
      <c r="B4125" s="638" t="s">
        <v>398</v>
      </c>
      <c r="C4125" s="8">
        <v>3</v>
      </c>
      <c r="D4125" s="1008" t="s">
        <v>1038</v>
      </c>
      <c r="E4125" s="1009"/>
      <c r="F4125" s="1009"/>
      <c r="G4125" s="1009"/>
      <c r="H4125" s="1009"/>
      <c r="I4125" s="1009"/>
      <c r="J4125" s="1009"/>
      <c r="K4125" s="1009"/>
      <c r="L4125" s="1010"/>
    </row>
    <row r="4126" spans="2:12" ht="15">
      <c r="B4126" s="1005"/>
      <c r="C4126" s="1006"/>
      <c r="D4126" s="1006"/>
      <c r="E4126" s="1006"/>
      <c r="F4126" s="1006"/>
      <c r="G4126" s="1006"/>
      <c r="H4126" s="1006"/>
      <c r="I4126" s="1006"/>
      <c r="J4126" s="1006"/>
      <c r="K4126" s="1006"/>
      <c r="L4126" s="1007"/>
    </row>
    <row r="4127" spans="2:12" ht="31.5">
      <c r="B4127" s="733" t="s">
        <v>399</v>
      </c>
      <c r="C4127" s="11">
        <f>+'PROPUESTA ECONOMICA(Proponente)'!C437</f>
        <v>6.4</v>
      </c>
      <c r="D4127" s="12" t="str">
        <f>+VLOOKUP('MEMORIAS DE CANTIDADES'!C4127,'PROPUESTA ECONOMICA(Proponente)'!$C$379:$H$661,5,FALSE)</f>
        <v>Solado de limpieza- concreto de 2000 psi, incluye suministro e instalación).</v>
      </c>
      <c r="E4127" s="13"/>
      <c r="F4127" s="12"/>
      <c r="G4127" s="12"/>
      <c r="H4127" s="12"/>
      <c r="I4127" s="11" t="s">
        <v>400</v>
      </c>
      <c r="J4127" s="12" t="str">
        <f>+VLOOKUP('MEMORIAS DE CANTIDADES'!C4127,'PROPUESTA ECONOMICA(Proponente)'!$C$379:$H$661,6,FALSE)</f>
        <v>m2</v>
      </c>
      <c r="K4127" s="11" t="s">
        <v>401</v>
      </c>
      <c r="L4127" s="643">
        <f>SUM(L4128:L4140)</f>
        <v>102.21250000000001</v>
      </c>
    </row>
    <row r="4128" spans="2:12" ht="15">
      <c r="B4128" s="644"/>
      <c r="C4128" s="16"/>
      <c r="D4128" s="15"/>
      <c r="E4128" s="15"/>
      <c r="F4128" s="15"/>
      <c r="G4128" s="15"/>
      <c r="H4128" s="15"/>
      <c r="I4128" s="15"/>
      <c r="J4128" s="15"/>
      <c r="K4128" s="17"/>
      <c r="L4128" s="645"/>
    </row>
    <row r="4129" spans="2:12" ht="47.25">
      <c r="B4129" s="646" t="s">
        <v>402</v>
      </c>
      <c r="C4129" s="18" t="s">
        <v>403</v>
      </c>
      <c r="D4129" s="18" t="s">
        <v>404</v>
      </c>
      <c r="E4129" s="18" t="s">
        <v>405</v>
      </c>
      <c r="F4129" s="18" t="s">
        <v>406</v>
      </c>
      <c r="G4129" s="18" t="s">
        <v>407</v>
      </c>
      <c r="H4129" s="5" t="s">
        <v>408</v>
      </c>
      <c r="I4129" s="18" t="s">
        <v>409</v>
      </c>
      <c r="J4129" s="5" t="s">
        <v>410</v>
      </c>
      <c r="K4129" s="5" t="s">
        <v>411</v>
      </c>
      <c r="L4129" s="647" t="s">
        <v>412</v>
      </c>
    </row>
    <row r="4130" spans="2:12" ht="15.75">
      <c r="B4130" s="734"/>
      <c r="C4130" s="19"/>
      <c r="D4130" s="19"/>
      <c r="E4130" s="48"/>
      <c r="F4130" s="47"/>
      <c r="G4130" s="57"/>
      <c r="H4130" s="21"/>
      <c r="I4130" s="55"/>
      <c r="J4130" s="56"/>
      <c r="K4130" s="5"/>
      <c r="L4130" s="761"/>
    </row>
    <row r="4131" spans="2:12" ht="15.75">
      <c r="B4131" s="734" t="s">
        <v>500</v>
      </c>
      <c r="C4131" s="19"/>
      <c r="D4131" s="19"/>
      <c r="E4131" s="48"/>
      <c r="F4131" s="47"/>
      <c r="G4131" s="57"/>
      <c r="H4131" s="21"/>
      <c r="I4131" s="55"/>
      <c r="J4131" s="56"/>
      <c r="K4131" s="5"/>
      <c r="L4131" s="761"/>
    </row>
    <row r="4132" spans="2:12" ht="15">
      <c r="B4132" s="734" t="s">
        <v>461</v>
      </c>
      <c r="C4132" s="39"/>
      <c r="D4132" s="39"/>
      <c r="E4132" s="39"/>
      <c r="F4132" s="39"/>
      <c r="G4132" s="39"/>
      <c r="H4132" s="39"/>
      <c r="I4132" s="39"/>
      <c r="J4132" s="39"/>
      <c r="K4132" s="39"/>
      <c r="L4132" s="738"/>
    </row>
    <row r="4133" spans="2:12" ht="15.75">
      <c r="B4133" s="734" t="s">
        <v>501</v>
      </c>
      <c r="C4133" s="61"/>
      <c r="D4133" s="61">
        <v>0.25</v>
      </c>
      <c r="E4133" s="59"/>
      <c r="F4133" s="368">
        <v>2.21</v>
      </c>
      <c r="G4133" s="63"/>
      <c r="H4133" s="64"/>
      <c r="I4133" s="65">
        <f>ROUND(240.6/2.5,0)+1</f>
        <v>97</v>
      </c>
      <c r="J4133" s="66"/>
      <c r="K4133" s="52"/>
      <c r="L4133" s="649">
        <f>PRODUCT(C4133:K4133)</f>
        <v>53.592500000000001</v>
      </c>
    </row>
    <row r="4134" spans="2:12" ht="15.75">
      <c r="B4134" s="734"/>
      <c r="C4134" s="61"/>
      <c r="D4134" s="61"/>
      <c r="E4134" s="59"/>
      <c r="F4134" s="368"/>
      <c r="G4134" s="63"/>
      <c r="H4134" s="64"/>
      <c r="I4134" s="65"/>
      <c r="J4134" s="66"/>
      <c r="K4134" s="52"/>
      <c r="L4134" s="649"/>
    </row>
    <row r="4135" spans="2:12" ht="15.75">
      <c r="B4135" s="734"/>
      <c r="C4135" s="19"/>
      <c r="D4135" s="19"/>
      <c r="E4135" s="48"/>
      <c r="F4135" s="137"/>
      <c r="G4135" s="57"/>
      <c r="H4135" s="21"/>
      <c r="I4135" s="47"/>
      <c r="J4135" s="56"/>
      <c r="K4135" s="5"/>
      <c r="L4135" s="649"/>
    </row>
    <row r="4136" spans="2:12" ht="15">
      <c r="B4136" s="734" t="s">
        <v>462</v>
      </c>
      <c r="C4136" s="19"/>
      <c r="D4136" s="137"/>
      <c r="E4136" s="137"/>
      <c r="F4136" s="137"/>
      <c r="G4136" s="39"/>
      <c r="H4136" s="39"/>
      <c r="I4136" s="39"/>
      <c r="J4136" s="39"/>
      <c r="K4136" s="39"/>
      <c r="L4136" s="649"/>
    </row>
    <row r="4137" spans="2:12" ht="15">
      <c r="B4137" s="746" t="s">
        <v>501</v>
      </c>
      <c r="C4137" s="19"/>
      <c r="D4137" s="19">
        <v>0.25</v>
      </c>
      <c r="E4137" s="19"/>
      <c r="F4137" s="47">
        <v>2.21</v>
      </c>
      <c r="G4137" s="19"/>
      <c r="H4137" s="21"/>
      <c r="I4137" s="47">
        <f>ROUND(217.6/2.5,0)+1</f>
        <v>88</v>
      </c>
      <c r="J4137" s="56"/>
      <c r="K4137" s="17"/>
      <c r="L4137" s="649">
        <f t="shared" ref="L4137" si="292">PRODUCT(C4137:K4137)</f>
        <v>48.62</v>
      </c>
    </row>
    <row r="4138" spans="2:12" ht="15">
      <c r="B4138" s="740"/>
      <c r="C4138" s="19"/>
      <c r="D4138" s="19"/>
      <c r="E4138" s="19"/>
      <c r="F4138" s="47"/>
      <c r="G4138" s="57"/>
      <c r="H4138" s="21"/>
      <c r="I4138" s="55"/>
      <c r="J4138" s="56"/>
      <c r="K4138" s="17"/>
      <c r="L4138" s="649"/>
    </row>
    <row r="4139" spans="2:12" ht="16.5">
      <c r="B4139" s="731"/>
      <c r="C4139" s="19"/>
      <c r="D4139" s="20"/>
      <c r="E4139" s="20"/>
      <c r="F4139" s="47"/>
      <c r="G4139" s="20"/>
      <c r="H4139" s="21"/>
      <c r="I4139" s="41"/>
      <c r="J4139" s="46"/>
      <c r="K4139" s="17"/>
      <c r="L4139" s="649"/>
    </row>
    <row r="4140" spans="2:12" ht="15.75">
      <c r="B4140" s="981" t="s">
        <v>414</v>
      </c>
      <c r="C4140" s="982"/>
      <c r="D4140" s="982"/>
      <c r="E4140" s="982"/>
      <c r="F4140" s="982"/>
      <c r="G4140" s="982"/>
      <c r="H4140" s="982"/>
      <c r="I4140" s="982"/>
      <c r="J4140" s="982"/>
      <c r="K4140" s="982"/>
      <c r="L4140" s="983"/>
    </row>
    <row r="4141" spans="2:12">
      <c r="B4141" s="651"/>
      <c r="L4141" s="652"/>
    </row>
    <row r="4142" spans="2:12" ht="15.6" customHeight="1">
      <c r="B4142" s="638" t="s">
        <v>398</v>
      </c>
      <c r="C4142" s="8">
        <v>6</v>
      </c>
      <c r="D4142" s="1008" t="s">
        <v>1030</v>
      </c>
      <c r="E4142" s="1009"/>
      <c r="F4142" s="1009"/>
      <c r="G4142" s="1009"/>
      <c r="H4142" s="1009"/>
      <c r="I4142" s="1009"/>
      <c r="J4142" s="1009"/>
      <c r="K4142" s="1009"/>
      <c r="L4142" s="1010"/>
    </row>
    <row r="4143" spans="2:12" ht="15">
      <c r="B4143" s="1005"/>
      <c r="C4143" s="1006"/>
      <c r="D4143" s="1006"/>
      <c r="E4143" s="1006"/>
      <c r="F4143" s="1006"/>
      <c r="G4143" s="1006"/>
      <c r="H4143" s="1006"/>
      <c r="I4143" s="1006"/>
      <c r="J4143" s="1006"/>
      <c r="K4143" s="1006"/>
      <c r="L4143" s="1007"/>
    </row>
    <row r="4144" spans="2:12" ht="47.25">
      <c r="B4144" s="733" t="s">
        <v>399</v>
      </c>
      <c r="C4144" s="11">
        <f>+'PROPUESTA ECONOMICA(Proponente)'!C438</f>
        <v>6.5</v>
      </c>
      <c r="D4144" s="12" t="str">
        <f>+VLOOKUP('MEMORIAS DE CANTIDADES'!C4144,'PROPUESTA ECONOMICA(Proponente)'!$C$379:$H$661,5,FALSE)</f>
        <v>CONCRETO VIGAS  CIMIENTOS, ZAPATAS Y AMARRES: (incluye suministro e instalación, Concreto 4000 PSI).</v>
      </c>
      <c r="E4144" s="13"/>
      <c r="F4144" s="12"/>
      <c r="G4144" s="12"/>
      <c r="H4144" s="12"/>
      <c r="I4144" s="11" t="s">
        <v>400</v>
      </c>
      <c r="J4144" s="12" t="str">
        <f>+VLOOKUP('MEMORIAS DE CANTIDADES'!C4144,'PROPUESTA ECONOMICA(Proponente)'!$C$379:$H$661,6,FALSE)</f>
        <v>m3</v>
      </c>
      <c r="K4144" s="11" t="s">
        <v>401</v>
      </c>
      <c r="L4144" s="643">
        <f>SUM(L4145:L4160)</f>
        <v>174.11750000000001</v>
      </c>
    </row>
    <row r="4145" spans="2:12" ht="15">
      <c r="B4145" s="644"/>
      <c r="C4145" s="16"/>
      <c r="D4145" s="15"/>
      <c r="E4145" s="15"/>
      <c r="F4145" s="15"/>
      <c r="G4145" s="15"/>
      <c r="H4145" s="15"/>
      <c r="I4145" s="15"/>
      <c r="J4145" s="15"/>
      <c r="K4145" s="17"/>
      <c r="L4145" s="645"/>
    </row>
    <row r="4146" spans="2:12" ht="47.25">
      <c r="B4146" s="646" t="s">
        <v>402</v>
      </c>
      <c r="C4146" s="18" t="s">
        <v>403</v>
      </c>
      <c r="D4146" s="18" t="s">
        <v>404</v>
      </c>
      <c r="E4146" s="18" t="s">
        <v>405</v>
      </c>
      <c r="F4146" s="18" t="s">
        <v>406</v>
      </c>
      <c r="G4146" s="18" t="s">
        <v>407</v>
      </c>
      <c r="H4146" s="5" t="s">
        <v>408</v>
      </c>
      <c r="I4146" s="18" t="s">
        <v>409</v>
      </c>
      <c r="J4146" s="5" t="s">
        <v>410</v>
      </c>
      <c r="K4146" s="5" t="s">
        <v>411</v>
      </c>
      <c r="L4146" s="647" t="s">
        <v>412</v>
      </c>
    </row>
    <row r="4147" spans="2:12" ht="15.75">
      <c r="B4147" s="734"/>
      <c r="C4147" s="19"/>
      <c r="D4147" s="20"/>
      <c r="E4147" s="59"/>
      <c r="F4147" s="47"/>
      <c r="G4147" s="19"/>
      <c r="H4147" s="21"/>
      <c r="I4147" s="55"/>
      <c r="J4147" s="56"/>
      <c r="K4147" s="5"/>
      <c r="L4147" s="649"/>
    </row>
    <row r="4148" spans="2:12" ht="30">
      <c r="B4148" s="734" t="s">
        <v>499</v>
      </c>
      <c r="C4148" s="19"/>
      <c r="D4148" s="19">
        <v>0.5</v>
      </c>
      <c r="E4148" s="48">
        <v>0.25</v>
      </c>
      <c r="F4148" s="47">
        <v>717</v>
      </c>
      <c r="G4148" s="57"/>
      <c r="H4148" s="21"/>
      <c r="I4148" s="55"/>
      <c r="J4148" s="56"/>
      <c r="K4148" s="5"/>
      <c r="L4148" s="649">
        <f t="shared" ref="L4148" si="293">PRODUCT(C4148:K4148)</f>
        <v>89.625</v>
      </c>
    </row>
    <row r="4149" spans="2:12" ht="15.75">
      <c r="B4149" s="734"/>
      <c r="C4149" s="19"/>
      <c r="D4149" s="19"/>
      <c r="E4149" s="48"/>
      <c r="F4149" s="47"/>
      <c r="G4149" s="57"/>
      <c r="H4149" s="21"/>
      <c r="I4149" s="55"/>
      <c r="J4149" s="56"/>
      <c r="K4149" s="5"/>
      <c r="L4149" s="761"/>
    </row>
    <row r="4150" spans="2:12" ht="15.75">
      <c r="B4150" s="734" t="s">
        <v>500</v>
      </c>
      <c r="C4150" s="19"/>
      <c r="D4150" s="19"/>
      <c r="E4150" s="48"/>
      <c r="F4150" s="47"/>
      <c r="G4150" s="57"/>
      <c r="H4150" s="21"/>
      <c r="I4150" s="55"/>
      <c r="J4150" s="56"/>
      <c r="K4150" s="5"/>
      <c r="L4150" s="761"/>
    </row>
    <row r="4151" spans="2:12" ht="15">
      <c r="B4151" s="734" t="s">
        <v>461</v>
      </c>
      <c r="C4151" s="39"/>
      <c r="D4151" s="39"/>
      <c r="E4151" s="39"/>
      <c r="F4151" s="39"/>
      <c r="G4151" s="39"/>
      <c r="H4151" s="39"/>
      <c r="I4151" s="39"/>
      <c r="J4151" s="39"/>
      <c r="K4151" s="39"/>
      <c r="L4151" s="738"/>
    </row>
    <row r="4152" spans="2:12" ht="15.75">
      <c r="B4152" s="734" t="s">
        <v>435</v>
      </c>
      <c r="C4152" s="61"/>
      <c r="D4152" s="61">
        <v>1.2</v>
      </c>
      <c r="E4152" s="59">
        <v>0.25</v>
      </c>
      <c r="F4152" s="59">
        <v>0.8</v>
      </c>
      <c r="G4152" s="63"/>
      <c r="H4152" s="64"/>
      <c r="I4152" s="65">
        <f>ROUND(240.6/2.5,0)+1</f>
        <v>97</v>
      </c>
      <c r="J4152" s="66"/>
      <c r="K4152" s="52"/>
      <c r="L4152" s="649">
        <f>PRODUCT(C4152:K4152)</f>
        <v>23.279999999999998</v>
      </c>
    </row>
    <row r="4153" spans="2:12" ht="15.75">
      <c r="B4153" s="734" t="s">
        <v>501</v>
      </c>
      <c r="C4153" s="61"/>
      <c r="D4153" s="61">
        <v>0.25</v>
      </c>
      <c r="E4153" s="59">
        <v>0.35</v>
      </c>
      <c r="F4153" s="59">
        <v>240.6</v>
      </c>
      <c r="G4153" s="63"/>
      <c r="H4153" s="64"/>
      <c r="I4153" s="65"/>
      <c r="J4153" s="66"/>
      <c r="K4153" s="52"/>
      <c r="L4153" s="649">
        <f>PRODUCT(C4153:K4153)</f>
        <v>21.052499999999998</v>
      </c>
    </row>
    <row r="4154" spans="2:12" ht="15.75">
      <c r="B4154" s="734"/>
      <c r="C4154" s="61"/>
      <c r="D4154" s="61"/>
      <c r="E4154" s="59"/>
      <c r="F4154" s="59"/>
      <c r="G4154" s="63"/>
      <c r="H4154" s="64"/>
      <c r="I4154" s="65"/>
      <c r="J4154" s="66"/>
      <c r="K4154" s="52"/>
      <c r="L4154" s="649"/>
    </row>
    <row r="4155" spans="2:12" ht="15.75">
      <c r="B4155" s="734"/>
      <c r="C4155" s="19"/>
      <c r="D4155" s="19"/>
      <c r="E4155" s="48"/>
      <c r="F4155" s="59"/>
      <c r="G4155" s="57"/>
      <c r="H4155" s="21"/>
      <c r="I4155" s="47"/>
      <c r="J4155" s="56"/>
      <c r="K4155" s="5"/>
      <c r="L4155" s="649"/>
    </row>
    <row r="4156" spans="2:12" ht="15">
      <c r="B4156" s="734" t="s">
        <v>462</v>
      </c>
      <c r="C4156" s="19"/>
      <c r="D4156" s="39"/>
      <c r="E4156" s="39"/>
      <c r="F4156" s="59"/>
      <c r="G4156" s="39"/>
      <c r="H4156" s="39"/>
      <c r="I4156" s="39"/>
      <c r="J4156" s="39"/>
      <c r="K4156" s="39"/>
      <c r="L4156" s="649"/>
    </row>
    <row r="4157" spans="2:12" ht="15.75">
      <c r="B4157" s="734" t="s">
        <v>435</v>
      </c>
      <c r="C4157" s="19"/>
      <c r="D4157" s="20">
        <v>1.2</v>
      </c>
      <c r="E4157" s="20">
        <v>0.25</v>
      </c>
      <c r="F4157" s="59">
        <v>0.8</v>
      </c>
      <c r="G4157" s="57"/>
      <c r="H4157" s="21"/>
      <c r="I4157" s="47">
        <f>ROUND(217.6/2.5,0)+1</f>
        <v>88</v>
      </c>
      <c r="J4157" s="56"/>
      <c r="K4157" s="5"/>
      <c r="L4157" s="649">
        <f t="shared" ref="L4157" si="294">PRODUCT(C4157:K4157)</f>
        <v>21.119999999999997</v>
      </c>
    </row>
    <row r="4158" spans="2:12" ht="15">
      <c r="B4158" s="746" t="s">
        <v>501</v>
      </c>
      <c r="C4158" s="19"/>
      <c r="D4158" s="20">
        <v>0.25</v>
      </c>
      <c r="E4158" s="20">
        <v>0.35</v>
      </c>
      <c r="F4158" s="59">
        <v>217.6</v>
      </c>
      <c r="G4158" s="19"/>
      <c r="H4158" s="21"/>
      <c r="I4158" s="47"/>
      <c r="J4158" s="56"/>
      <c r="K4158" s="17"/>
      <c r="L4158" s="649">
        <f>PRODUCT(C4158:K4158)</f>
        <v>19.04</v>
      </c>
    </row>
    <row r="4159" spans="2:12" ht="16.5">
      <c r="B4159" s="731"/>
      <c r="C4159" s="19"/>
      <c r="D4159" s="20"/>
      <c r="E4159" s="20"/>
      <c r="F4159" s="47"/>
      <c r="G4159" s="20"/>
      <c r="H4159" s="21"/>
      <c r="I4159" s="41"/>
      <c r="J4159" s="46"/>
      <c r="K4159" s="17"/>
      <c r="L4159" s="649"/>
    </row>
    <row r="4160" spans="2:12" ht="15.75">
      <c r="B4160" s="981" t="s">
        <v>414</v>
      </c>
      <c r="C4160" s="982"/>
      <c r="D4160" s="982"/>
      <c r="E4160" s="982"/>
      <c r="F4160" s="982"/>
      <c r="G4160" s="982"/>
      <c r="H4160" s="982"/>
      <c r="I4160" s="982"/>
      <c r="J4160" s="982"/>
      <c r="K4160" s="982"/>
      <c r="L4160" s="983"/>
    </row>
    <row r="4161" spans="2:12">
      <c r="B4161" s="651"/>
      <c r="L4161" s="652"/>
    </row>
    <row r="4162" spans="2:12" ht="15.6" customHeight="1">
      <c r="B4162" s="638" t="s">
        <v>398</v>
      </c>
      <c r="C4162" s="8">
        <v>6</v>
      </c>
      <c r="D4162" s="1008" t="s">
        <v>1030</v>
      </c>
      <c r="E4162" s="1009"/>
      <c r="F4162" s="1009"/>
      <c r="G4162" s="1009"/>
      <c r="H4162" s="1009"/>
      <c r="I4162" s="1009"/>
      <c r="J4162" s="1009"/>
      <c r="K4162" s="1009"/>
      <c r="L4162" s="1010"/>
    </row>
    <row r="4163" spans="2:12" ht="15">
      <c r="B4163" s="1005"/>
      <c r="C4163" s="1006"/>
      <c r="D4163" s="1006"/>
      <c r="E4163" s="1006"/>
      <c r="F4163" s="1006"/>
      <c r="G4163" s="1006"/>
      <c r="H4163" s="1006"/>
      <c r="I4163" s="1006"/>
      <c r="J4163" s="1006"/>
      <c r="K4163" s="1006"/>
      <c r="L4163" s="1007"/>
    </row>
    <row r="4164" spans="2:12" ht="31.5">
      <c r="B4164" s="733" t="s">
        <v>399</v>
      </c>
      <c r="C4164" s="11">
        <f>+'PROPUESTA ECONOMICA(Proponente)'!C439</f>
        <v>6.6</v>
      </c>
      <c r="D4164" s="12" t="str">
        <f>+VLOOKUP('MEMORIAS DE CANTIDADES'!C4164,'PROPUESTA ECONOMICA(Proponente)'!$C$379:$H$661,5,FALSE)</f>
        <v>Suministro y levante MURO DE BLOCK No6 HUECO abujardado con  mortero 1:4.</v>
      </c>
      <c r="E4164" s="13"/>
      <c r="F4164" s="12"/>
      <c r="G4164" s="12"/>
      <c r="H4164" s="12"/>
      <c r="I4164" s="11" t="s">
        <v>400</v>
      </c>
      <c r="J4164" s="12" t="str">
        <f>+VLOOKUP('MEMORIAS DE CANTIDADES'!C4164,'PROPUESTA ECONOMICA(Proponente)'!$C$379:$H$661,6,FALSE)</f>
        <v>m2</v>
      </c>
      <c r="K4164" s="11" t="s">
        <v>401</v>
      </c>
      <c r="L4164" s="643">
        <f>SUM(L4165:L4175)</f>
        <v>643.35599999999999</v>
      </c>
    </row>
    <row r="4165" spans="2:12" ht="15">
      <c r="B4165" s="644"/>
      <c r="C4165" s="16"/>
      <c r="D4165" s="15"/>
      <c r="E4165" s="15"/>
      <c r="F4165" s="15"/>
      <c r="G4165" s="15"/>
      <c r="H4165" s="15"/>
      <c r="I4165" s="15"/>
      <c r="J4165" s="15"/>
      <c r="K4165" s="17"/>
      <c r="L4165" s="645"/>
    </row>
    <row r="4166" spans="2:12" ht="47.25">
      <c r="B4166" s="646" t="s">
        <v>402</v>
      </c>
      <c r="C4166" s="18" t="s">
        <v>403</v>
      </c>
      <c r="D4166" s="18" t="s">
        <v>404</v>
      </c>
      <c r="E4166" s="18" t="s">
        <v>405</v>
      </c>
      <c r="F4166" s="18" t="s">
        <v>406</v>
      </c>
      <c r="G4166" s="18" t="s">
        <v>407</v>
      </c>
      <c r="H4166" s="5" t="s">
        <v>408</v>
      </c>
      <c r="I4166" s="18" t="s">
        <v>409</v>
      </c>
      <c r="J4166" s="5" t="s">
        <v>410</v>
      </c>
      <c r="K4166" s="5" t="s">
        <v>411</v>
      </c>
      <c r="L4166" s="647" t="s">
        <v>412</v>
      </c>
    </row>
    <row r="4167" spans="2:12" ht="15.75">
      <c r="B4167" s="734"/>
      <c r="C4167" s="19"/>
      <c r="D4167" s="20"/>
      <c r="E4167" s="59"/>
      <c r="F4167" s="47"/>
      <c r="G4167" s="19"/>
      <c r="H4167" s="21"/>
      <c r="I4167" s="55"/>
      <c r="J4167" s="56"/>
      <c r="K4167" s="5"/>
      <c r="L4167" s="649"/>
    </row>
    <row r="4168" spans="2:12" ht="15.75">
      <c r="B4168" s="734" t="s">
        <v>500</v>
      </c>
      <c r="C4168" s="19"/>
      <c r="D4168" s="19"/>
      <c r="E4168" s="48"/>
      <c r="F4168" s="47"/>
      <c r="G4168" s="57"/>
      <c r="H4168" s="21"/>
      <c r="I4168" s="55"/>
      <c r="J4168" s="56"/>
      <c r="K4168" s="5"/>
      <c r="L4168" s="761"/>
    </row>
    <row r="4169" spans="2:12" ht="15">
      <c r="B4169" s="734" t="s">
        <v>461</v>
      </c>
      <c r="C4169" s="39"/>
      <c r="D4169" s="39"/>
      <c r="E4169" s="39"/>
      <c r="F4169" s="39"/>
      <c r="G4169" s="39"/>
      <c r="H4169" s="39"/>
      <c r="I4169" s="39"/>
      <c r="J4169" s="39"/>
      <c r="K4169" s="39"/>
      <c r="L4169" s="738"/>
    </row>
    <row r="4170" spans="2:12" ht="15.75">
      <c r="B4170" s="734"/>
      <c r="C4170" s="61"/>
      <c r="D4170" s="61"/>
      <c r="E4170" s="59">
        <v>1.26</v>
      </c>
      <c r="F4170" s="59">
        <v>2.76</v>
      </c>
      <c r="G4170" s="63"/>
      <c r="H4170" s="64"/>
      <c r="I4170" s="65">
        <f>ROUND(240.6/2.5,0)+1</f>
        <v>97</v>
      </c>
      <c r="J4170" s="66"/>
      <c r="K4170" s="52"/>
      <c r="L4170" s="649">
        <f>PRODUCT(C4170:K4170)</f>
        <v>337.3272</v>
      </c>
    </row>
    <row r="4171" spans="2:12" ht="15.75">
      <c r="B4171" s="734"/>
      <c r="C4171" s="19"/>
      <c r="D4171" s="19"/>
      <c r="E4171" s="48"/>
      <c r="F4171" s="59"/>
      <c r="G4171" s="57"/>
      <c r="H4171" s="21"/>
      <c r="I4171" s="47"/>
      <c r="J4171" s="56"/>
      <c r="K4171" s="5"/>
      <c r="L4171" s="649"/>
    </row>
    <row r="4172" spans="2:12" ht="15">
      <c r="B4172" s="734" t="s">
        <v>462</v>
      </c>
      <c r="C4172" s="19"/>
      <c r="D4172" s="39"/>
      <c r="E4172" s="39"/>
      <c r="F4172" s="59"/>
      <c r="G4172" s="39"/>
      <c r="H4172" s="39"/>
      <c r="I4172" s="39"/>
      <c r="J4172" s="39"/>
      <c r="K4172" s="39"/>
      <c r="L4172" s="649"/>
    </row>
    <row r="4173" spans="2:12" ht="15.75">
      <c r="B4173" s="734"/>
      <c r="C4173" s="19"/>
      <c r="D4173" s="20"/>
      <c r="E4173" s="19">
        <v>1.26</v>
      </c>
      <c r="F4173" s="59">
        <v>2.76</v>
      </c>
      <c r="G4173" s="57"/>
      <c r="H4173" s="21"/>
      <c r="I4173" s="47">
        <f>ROUND(217.6/2.5,0)+1</f>
        <v>88</v>
      </c>
      <c r="J4173" s="56"/>
      <c r="K4173" s="5"/>
      <c r="L4173" s="649">
        <f t="shared" ref="L4173" si="295">PRODUCT(C4173:K4173)</f>
        <v>306.02879999999999</v>
      </c>
    </row>
    <row r="4174" spans="2:12" ht="16.5">
      <c r="B4174" s="731"/>
      <c r="C4174" s="19"/>
      <c r="D4174" s="20"/>
      <c r="E4174" s="20"/>
      <c r="F4174" s="47"/>
      <c r="G4174" s="20"/>
      <c r="H4174" s="21"/>
      <c r="I4174" s="41"/>
      <c r="J4174" s="46"/>
      <c r="K4174" s="17"/>
      <c r="L4174" s="649"/>
    </row>
    <row r="4175" spans="2:12" ht="15.75">
      <c r="B4175" s="981" t="s">
        <v>414</v>
      </c>
      <c r="C4175" s="982"/>
      <c r="D4175" s="982"/>
      <c r="E4175" s="982"/>
      <c r="F4175" s="982"/>
      <c r="G4175" s="982"/>
      <c r="H4175" s="982"/>
      <c r="I4175" s="982"/>
      <c r="J4175" s="982"/>
      <c r="K4175" s="982"/>
      <c r="L4175" s="983"/>
    </row>
    <row r="4176" spans="2:12">
      <c r="B4176" s="651"/>
      <c r="L4176" s="652"/>
    </row>
    <row r="4177" spans="2:12" ht="15.6" customHeight="1">
      <c r="B4177" s="638" t="s">
        <v>398</v>
      </c>
      <c r="C4177" s="8">
        <v>6</v>
      </c>
      <c r="D4177" s="1008" t="s">
        <v>1030</v>
      </c>
      <c r="E4177" s="1009"/>
      <c r="F4177" s="1009"/>
      <c r="G4177" s="1009"/>
      <c r="H4177" s="1009"/>
      <c r="I4177" s="1009"/>
      <c r="J4177" s="1009"/>
      <c r="K4177" s="1009"/>
      <c r="L4177" s="1010"/>
    </row>
    <row r="4178" spans="2:12" ht="15">
      <c r="B4178" s="1005"/>
      <c r="C4178" s="1006"/>
      <c r="D4178" s="1006"/>
      <c r="E4178" s="1006"/>
      <c r="F4178" s="1006"/>
      <c r="G4178" s="1006"/>
      <c r="H4178" s="1006"/>
      <c r="I4178" s="1006"/>
      <c r="J4178" s="1006"/>
      <c r="K4178" s="1006"/>
      <c r="L4178" s="1007"/>
    </row>
    <row r="4179" spans="2:12" ht="31.5">
      <c r="B4179" s="733" t="s">
        <v>399</v>
      </c>
      <c r="C4179" s="11">
        <f>+'PROPUESTA ECONOMICA(Proponente)'!C440</f>
        <v>6.7</v>
      </c>
      <c r="D4179" s="12" t="str">
        <f>+VLOOKUP('MEMORIAS DE CANTIDADES'!C4179,'PROPUESTA ECONOMICA(Proponente)'!$C$379:$H$661,5,FALSE)</f>
        <v>Suministro y levante MURO DE BLOCK No8 HUECO con  mortero 1:4.</v>
      </c>
      <c r="E4179" s="13"/>
      <c r="F4179" s="12"/>
      <c r="G4179" s="12"/>
      <c r="H4179" s="12"/>
      <c r="I4179" s="11" t="s">
        <v>400</v>
      </c>
      <c r="J4179" s="12" t="str">
        <f>+VLOOKUP('MEMORIAS DE CANTIDADES'!C4179,'PROPUESTA ECONOMICA(Proponente)'!$C$379:$H$661,6,FALSE)</f>
        <v>m2</v>
      </c>
      <c r="K4179" s="11" t="s">
        <v>401</v>
      </c>
      <c r="L4179" s="643">
        <f>SUM(L4180:L4188)</f>
        <v>587.93999999999994</v>
      </c>
    </row>
    <row r="4180" spans="2:12" ht="15">
      <c r="B4180" s="644"/>
      <c r="C4180" s="16"/>
      <c r="D4180" s="15"/>
      <c r="E4180" s="15"/>
      <c r="F4180" s="15"/>
      <c r="G4180" s="15"/>
      <c r="H4180" s="15"/>
      <c r="I4180" s="15"/>
      <c r="J4180" s="15"/>
      <c r="K4180" s="17"/>
      <c r="L4180" s="645"/>
    </row>
    <row r="4181" spans="2:12" ht="47.25">
      <c r="B4181" s="646" t="s">
        <v>402</v>
      </c>
      <c r="C4181" s="18" t="s">
        <v>403</v>
      </c>
      <c r="D4181" s="18" t="s">
        <v>404</v>
      </c>
      <c r="E4181" s="18" t="s">
        <v>405</v>
      </c>
      <c r="F4181" s="18" t="s">
        <v>406</v>
      </c>
      <c r="G4181" s="18" t="s">
        <v>407</v>
      </c>
      <c r="H4181" s="5" t="s">
        <v>408</v>
      </c>
      <c r="I4181" s="18" t="s">
        <v>409</v>
      </c>
      <c r="J4181" s="5" t="s">
        <v>410</v>
      </c>
      <c r="K4181" s="5" t="s">
        <v>411</v>
      </c>
      <c r="L4181" s="647" t="s">
        <v>412</v>
      </c>
    </row>
    <row r="4182" spans="2:12" ht="15.75">
      <c r="B4182" s="734"/>
      <c r="C4182" s="269"/>
      <c r="D4182" s="270"/>
      <c r="E4182" s="59"/>
      <c r="F4182" s="347"/>
      <c r="G4182" s="269"/>
      <c r="H4182" s="271"/>
      <c r="I4182" s="55"/>
      <c r="J4182" s="56"/>
      <c r="K4182" s="5"/>
      <c r="L4182" s="656"/>
    </row>
    <row r="4183" spans="2:12" ht="30">
      <c r="B4183" s="734" t="s">
        <v>499</v>
      </c>
      <c r="C4183" s="269"/>
      <c r="D4183" s="269"/>
      <c r="E4183" s="48">
        <v>0.82</v>
      </c>
      <c r="F4183" s="347">
        <v>717</v>
      </c>
      <c r="G4183" s="348"/>
      <c r="H4183" s="271"/>
      <c r="I4183" s="55"/>
      <c r="J4183" s="56"/>
      <c r="K4183" s="5"/>
      <c r="L4183" s="656">
        <f t="shared" ref="L4183" si="296">PRODUCT(C4183:K4183)</f>
        <v>587.93999999999994</v>
      </c>
    </row>
    <row r="4184" spans="2:12" ht="15">
      <c r="B4184" s="734"/>
      <c r="C4184" s="39"/>
      <c r="D4184" s="39"/>
      <c r="E4184" s="39"/>
      <c r="F4184" s="39"/>
      <c r="G4184" s="39"/>
      <c r="H4184" s="39"/>
      <c r="I4184" s="39"/>
      <c r="J4184" s="39"/>
      <c r="K4184" s="39"/>
      <c r="L4184" s="738"/>
    </row>
    <row r="4185" spans="2:12" ht="15.75">
      <c r="B4185" s="734"/>
      <c r="C4185" s="61"/>
      <c r="D4185" s="61"/>
      <c r="E4185" s="59"/>
      <c r="F4185" s="59"/>
      <c r="G4185" s="63"/>
      <c r="H4185" s="64"/>
      <c r="I4185" s="65"/>
      <c r="J4185" s="66"/>
      <c r="K4185" s="52"/>
      <c r="L4185" s="649"/>
    </row>
    <row r="4186" spans="2:12" ht="15.75">
      <c r="B4186" s="734"/>
      <c r="C4186" s="19"/>
      <c r="D4186" s="19"/>
      <c r="E4186" s="48"/>
      <c r="F4186" s="59"/>
      <c r="G4186" s="57"/>
      <c r="H4186" s="21"/>
      <c r="I4186" s="47"/>
      <c r="J4186" s="56"/>
      <c r="K4186" s="5"/>
      <c r="L4186" s="649"/>
    </row>
    <row r="4187" spans="2:12" ht="15">
      <c r="B4187" s="734"/>
      <c r="C4187" s="19"/>
      <c r="D4187" s="39"/>
      <c r="E4187" s="39"/>
      <c r="F4187" s="59"/>
      <c r="G4187" s="39"/>
      <c r="H4187" s="39"/>
      <c r="I4187" s="39"/>
      <c r="J4187" s="39"/>
      <c r="K4187" s="39"/>
      <c r="L4187" s="649"/>
    </row>
    <row r="4188" spans="2:12" ht="15.75">
      <c r="B4188" s="981" t="s">
        <v>414</v>
      </c>
      <c r="C4188" s="982"/>
      <c r="D4188" s="982"/>
      <c r="E4188" s="982"/>
      <c r="F4188" s="982"/>
      <c r="G4188" s="982"/>
      <c r="H4188" s="982"/>
      <c r="I4188" s="982"/>
      <c r="J4188" s="982"/>
      <c r="K4188" s="982"/>
      <c r="L4188" s="983"/>
    </row>
    <row r="4189" spans="2:12">
      <c r="B4189" s="651"/>
      <c r="L4189" s="652"/>
    </row>
    <row r="4190" spans="2:12" ht="15" customHeight="1">
      <c r="B4190" s="638" t="s">
        <v>398</v>
      </c>
      <c r="C4190" s="8">
        <v>6</v>
      </c>
      <c r="D4190" s="1008" t="s">
        <v>1030</v>
      </c>
      <c r="E4190" s="1009"/>
      <c r="F4190" s="1009"/>
      <c r="G4190" s="1009"/>
      <c r="H4190" s="1009"/>
      <c r="I4190" s="1009"/>
      <c r="J4190" s="1009"/>
      <c r="K4190" s="1009"/>
      <c r="L4190" s="1010"/>
    </row>
    <row r="4191" spans="2:12" ht="15">
      <c r="B4191" s="1005"/>
      <c r="C4191" s="1006"/>
      <c r="D4191" s="1006"/>
      <c r="E4191" s="1006"/>
      <c r="F4191" s="1006"/>
      <c r="G4191" s="1006"/>
      <c r="H4191" s="1006"/>
      <c r="I4191" s="1006"/>
      <c r="J4191" s="1006"/>
      <c r="K4191" s="1006"/>
      <c r="L4191" s="1007"/>
    </row>
    <row r="4192" spans="2:12" ht="47.25">
      <c r="B4192" s="733" t="s">
        <v>399</v>
      </c>
      <c r="C4192" s="11">
        <f>+'PROPUESTA ECONOMICA(Proponente)'!C441</f>
        <v>6.8</v>
      </c>
      <c r="D4192" s="12" t="str">
        <f>+VLOOKUP('MEMORIAS DE CANTIDADES'!C4192,'PROPUESTA ECONOMICA(Proponente)'!$C$379:$H$661,5,FALSE)</f>
        <v>COLUMNAS DE CONCRETO A LA VISTA: Concreto  de 4000 PSI  (incluye suministro, formaletería e instalación).</v>
      </c>
      <c r="E4192" s="13"/>
      <c r="F4192" s="12"/>
      <c r="G4192" s="12"/>
      <c r="H4192" s="12"/>
      <c r="I4192" s="11" t="s">
        <v>400</v>
      </c>
      <c r="J4192" s="12" t="str">
        <f>+VLOOKUP('MEMORIAS DE CANTIDADES'!C4192,'PROPUESTA ECONOMICA(Proponente)'!$C$379:$H$661,6,FALSE)</f>
        <v>M3</v>
      </c>
      <c r="K4192" s="11" t="s">
        <v>401</v>
      </c>
      <c r="L4192" s="643">
        <f>SUM(L4193:L4205)</f>
        <v>22.807000000000002</v>
      </c>
    </row>
    <row r="4193" spans="2:12" ht="15">
      <c r="B4193" s="644"/>
      <c r="C4193" s="16"/>
      <c r="D4193" s="15"/>
      <c r="E4193" s="15"/>
      <c r="F4193" s="15"/>
      <c r="G4193" s="15"/>
      <c r="H4193" s="15"/>
      <c r="I4193" s="15"/>
      <c r="J4193" s="15"/>
      <c r="K4193" s="17"/>
      <c r="L4193" s="645"/>
    </row>
    <row r="4194" spans="2:12" ht="47.25">
      <c r="B4194" s="646" t="s">
        <v>402</v>
      </c>
      <c r="C4194" s="18" t="s">
        <v>403</v>
      </c>
      <c r="D4194" s="18" t="s">
        <v>404</v>
      </c>
      <c r="E4194" s="18" t="s">
        <v>405</v>
      </c>
      <c r="F4194" s="18" t="s">
        <v>406</v>
      </c>
      <c r="G4194" s="18" t="s">
        <v>407</v>
      </c>
      <c r="H4194" s="5" t="s">
        <v>408</v>
      </c>
      <c r="I4194" s="18" t="s">
        <v>409</v>
      </c>
      <c r="J4194" s="5" t="s">
        <v>410</v>
      </c>
      <c r="K4194" s="5" t="s">
        <v>411</v>
      </c>
      <c r="L4194" s="647" t="s">
        <v>412</v>
      </c>
    </row>
    <row r="4195" spans="2:12" ht="30">
      <c r="B4195" s="734" t="s">
        <v>499</v>
      </c>
      <c r="C4195" s="19"/>
      <c r="D4195" s="19">
        <v>0.2</v>
      </c>
      <c r="E4195" s="48">
        <v>0.25</v>
      </c>
      <c r="F4195" s="47">
        <v>0.82</v>
      </c>
      <c r="G4195" s="57"/>
      <c r="H4195" s="21"/>
      <c r="I4195" s="55">
        <f>ROUND(717/2.65,0)+1</f>
        <v>272</v>
      </c>
      <c r="J4195" s="56"/>
      <c r="K4195" s="5"/>
      <c r="L4195" s="649">
        <f t="shared" ref="L4195" si="297">PRODUCT(C4195:K4195)</f>
        <v>11.152000000000001</v>
      </c>
    </row>
    <row r="4196" spans="2:12" ht="15.75">
      <c r="B4196" s="734"/>
      <c r="C4196" s="19"/>
      <c r="D4196" s="19"/>
      <c r="E4196" s="48"/>
      <c r="F4196" s="47"/>
      <c r="G4196" s="57"/>
      <c r="H4196" s="21"/>
      <c r="J4196" s="56"/>
      <c r="K4196" s="5"/>
      <c r="L4196" s="761"/>
    </row>
    <row r="4197" spans="2:12" ht="15.75">
      <c r="B4197" s="734" t="s">
        <v>500</v>
      </c>
      <c r="C4197" s="19"/>
      <c r="D4197" s="19"/>
      <c r="E4197" s="48"/>
      <c r="F4197" s="47"/>
      <c r="G4197" s="57"/>
      <c r="H4197" s="21"/>
      <c r="I4197" s="55"/>
      <c r="J4197" s="56"/>
      <c r="K4197" s="5"/>
      <c r="L4197" s="761"/>
    </row>
    <row r="4198" spans="2:12" ht="15">
      <c r="B4198" s="734" t="s">
        <v>461</v>
      </c>
      <c r="C4198" s="39"/>
      <c r="D4198" s="39"/>
      <c r="E4198" s="39"/>
      <c r="F4198" s="39"/>
      <c r="G4198" s="39"/>
      <c r="H4198" s="39"/>
      <c r="I4198" s="39"/>
      <c r="J4198" s="39"/>
      <c r="K4198" s="39"/>
      <c r="L4198" s="738"/>
    </row>
    <row r="4199" spans="2:12" ht="15.75">
      <c r="B4199" s="734" t="s">
        <v>428</v>
      </c>
      <c r="C4199" s="61"/>
      <c r="D4199" s="61">
        <v>0.2</v>
      </c>
      <c r="E4199" s="59">
        <v>0.25</v>
      </c>
      <c r="F4199" s="59">
        <v>1.26</v>
      </c>
      <c r="G4199" s="63"/>
      <c r="H4199" s="64"/>
      <c r="I4199" s="65">
        <f>ROUND(240.6/2.5,0)+1</f>
        <v>97</v>
      </c>
      <c r="J4199" s="66"/>
      <c r="K4199" s="52"/>
      <c r="L4199" s="649">
        <f>PRODUCT(C4199:K4199)</f>
        <v>6.1109999999999998</v>
      </c>
    </row>
    <row r="4200" spans="2:12" ht="15.75">
      <c r="B4200" s="734"/>
      <c r="C4200" s="61"/>
      <c r="D4200" s="61"/>
      <c r="E4200" s="59"/>
      <c r="F4200" s="59"/>
      <c r="G4200" s="63"/>
      <c r="H4200" s="64"/>
      <c r="I4200" s="65"/>
      <c r="J4200" s="66"/>
      <c r="K4200" s="52"/>
      <c r="L4200" s="649">
        <f>PRODUCT(C4200:K4200)</f>
        <v>0</v>
      </c>
    </row>
    <row r="4201" spans="2:12" ht="15">
      <c r="B4201" s="734" t="s">
        <v>462</v>
      </c>
      <c r="C4201" s="19"/>
      <c r="D4201" s="39"/>
      <c r="E4201" s="39"/>
      <c r="F4201" s="59"/>
      <c r="G4201" s="39"/>
      <c r="H4201" s="39"/>
      <c r="I4201" s="39"/>
      <c r="J4201" s="39"/>
      <c r="K4201" s="39"/>
      <c r="L4201" s="649"/>
    </row>
    <row r="4202" spans="2:12" ht="15.75">
      <c r="B4202" s="734" t="s">
        <v>428</v>
      </c>
      <c r="C4202" s="19"/>
      <c r="D4202" s="20">
        <v>0.2</v>
      </c>
      <c r="E4202" s="20">
        <v>0.25</v>
      </c>
      <c r="F4202" s="59">
        <v>1.26</v>
      </c>
      <c r="G4202" s="57"/>
      <c r="H4202" s="21"/>
      <c r="I4202" s="47">
        <f>ROUND(217.6/2.5,0)+1</f>
        <v>88</v>
      </c>
      <c r="J4202" s="56"/>
      <c r="K4202" s="5"/>
      <c r="L4202" s="649">
        <f t="shared" ref="L4202" si="298">PRODUCT(C4202:K4202)</f>
        <v>5.5440000000000005</v>
      </c>
    </row>
    <row r="4203" spans="2:12" ht="15">
      <c r="B4203" s="746"/>
      <c r="C4203" s="19"/>
      <c r="D4203" s="20"/>
      <c r="E4203" s="20"/>
      <c r="F4203" s="59"/>
      <c r="G4203" s="19"/>
      <c r="H4203" s="21"/>
      <c r="I4203" s="47"/>
      <c r="J4203" s="56"/>
      <c r="K4203" s="17"/>
      <c r="L4203" s="649"/>
    </row>
    <row r="4204" spans="2:12" ht="16.5">
      <c r="B4204" s="731"/>
      <c r="C4204" s="19"/>
      <c r="D4204" s="20"/>
      <c r="E4204" s="20"/>
      <c r="F4204" s="47"/>
      <c r="G4204" s="20"/>
      <c r="H4204" s="21"/>
      <c r="I4204" s="41"/>
      <c r="J4204" s="46"/>
      <c r="K4204" s="17"/>
      <c r="L4204" s="649"/>
    </row>
    <row r="4205" spans="2:12" ht="15.75">
      <c r="B4205" s="981" t="s">
        <v>414</v>
      </c>
      <c r="C4205" s="982"/>
      <c r="D4205" s="982"/>
      <c r="E4205" s="982"/>
      <c r="F4205" s="982"/>
      <c r="G4205" s="982"/>
      <c r="H4205" s="982"/>
      <c r="I4205" s="982"/>
      <c r="J4205" s="982"/>
      <c r="K4205" s="982"/>
      <c r="L4205" s="983"/>
    </row>
    <row r="4206" spans="2:12">
      <c r="B4206" s="651"/>
      <c r="L4206" s="652"/>
    </row>
    <row r="4207" spans="2:12" ht="15.6" customHeight="1">
      <c r="B4207" s="638" t="s">
        <v>398</v>
      </c>
      <c r="C4207" s="8">
        <v>6</v>
      </c>
      <c r="D4207" s="1008" t="s">
        <v>1030</v>
      </c>
      <c r="E4207" s="1009"/>
      <c r="F4207" s="1009"/>
      <c r="G4207" s="1009"/>
      <c r="H4207" s="1009"/>
      <c r="I4207" s="1009"/>
      <c r="J4207" s="1009"/>
      <c r="K4207" s="1009"/>
      <c r="L4207" s="1010"/>
    </row>
    <row r="4208" spans="2:12" ht="15">
      <c r="B4208" s="1005"/>
      <c r="C4208" s="1006"/>
      <c r="D4208" s="1006"/>
      <c r="E4208" s="1006"/>
      <c r="F4208" s="1006"/>
      <c r="G4208" s="1006"/>
      <c r="H4208" s="1006"/>
      <c r="I4208" s="1006"/>
      <c r="J4208" s="1006"/>
      <c r="K4208" s="1006"/>
      <c r="L4208" s="1007"/>
    </row>
    <row r="4209" spans="2:12" ht="47.25">
      <c r="B4209" s="733" t="s">
        <v>399</v>
      </c>
      <c r="C4209" s="11">
        <f>+'PROPUESTA ECONOMICA(Proponente)'!C442</f>
        <v>6.9</v>
      </c>
      <c r="D4209" s="12" t="str">
        <f>+VLOOKUP('MEMORIAS DE CANTIDADES'!C4209,'PROPUESTA ECONOMICA(Proponente)'!$C$379:$H$661,5,FALSE)</f>
        <v>CONCRETO VIGA DE CONFIANAMIENTO 4000 PSI, (Incluye suministro, formalete ría e instalación).</v>
      </c>
      <c r="E4209" s="13"/>
      <c r="F4209" s="12"/>
      <c r="G4209" s="12"/>
      <c r="H4209" s="12"/>
      <c r="I4209" s="11" t="s">
        <v>400</v>
      </c>
      <c r="J4209" s="12" t="str">
        <f>+VLOOKUP('MEMORIAS DE CANTIDADES'!C4209,'PROPUESTA ECONOMICA(Proponente)'!$C$379:$H$661,6,FALSE)</f>
        <v>m3</v>
      </c>
      <c r="K4209" s="11" t="s">
        <v>401</v>
      </c>
      <c r="L4209" s="643">
        <f>SUM(L4210:L4222)</f>
        <v>87.44</v>
      </c>
    </row>
    <row r="4210" spans="2:12" ht="15">
      <c r="B4210" s="644"/>
      <c r="C4210" s="16"/>
      <c r="D4210" s="15"/>
      <c r="E4210" s="15"/>
      <c r="F4210" s="15"/>
      <c r="G4210" s="15"/>
      <c r="H4210" s="15"/>
      <c r="I4210" s="15"/>
      <c r="J4210" s="15"/>
      <c r="K4210" s="17"/>
      <c r="L4210" s="645"/>
    </row>
    <row r="4211" spans="2:12" ht="47.25">
      <c r="B4211" s="646" t="s">
        <v>402</v>
      </c>
      <c r="C4211" s="18" t="s">
        <v>403</v>
      </c>
      <c r="D4211" s="18" t="s">
        <v>404</v>
      </c>
      <c r="E4211" s="18" t="s">
        <v>405</v>
      </c>
      <c r="F4211" s="18" t="s">
        <v>406</v>
      </c>
      <c r="G4211" s="18" t="s">
        <v>407</v>
      </c>
      <c r="H4211" s="5" t="s">
        <v>408</v>
      </c>
      <c r="I4211" s="18" t="s">
        <v>409</v>
      </c>
      <c r="J4211" s="5" t="s">
        <v>410</v>
      </c>
      <c r="K4211" s="5" t="s">
        <v>411</v>
      </c>
      <c r="L4211" s="647" t="s">
        <v>412</v>
      </c>
    </row>
    <row r="4212" spans="2:12" ht="30">
      <c r="B4212" s="734" t="s">
        <v>499</v>
      </c>
      <c r="C4212" s="19"/>
      <c r="D4212" s="19">
        <v>0.2</v>
      </c>
      <c r="E4212" s="48">
        <v>0.45</v>
      </c>
      <c r="F4212" s="47">
        <v>717</v>
      </c>
      <c r="G4212" s="57"/>
      <c r="H4212" s="21"/>
      <c r="I4212" s="55"/>
      <c r="J4212" s="56"/>
      <c r="K4212" s="5"/>
      <c r="L4212" s="649">
        <f t="shared" ref="L4212" si="299">PRODUCT(C4212:K4212)</f>
        <v>64.53</v>
      </c>
    </row>
    <row r="4213" spans="2:12" ht="15.75">
      <c r="B4213" s="734"/>
      <c r="C4213" s="19"/>
      <c r="D4213" s="19"/>
      <c r="E4213" s="48"/>
      <c r="F4213" s="47"/>
      <c r="G4213" s="57"/>
      <c r="H4213" s="21"/>
      <c r="J4213" s="56"/>
      <c r="K4213" s="5"/>
      <c r="L4213" s="761"/>
    </row>
    <row r="4214" spans="2:12" ht="15.75">
      <c r="B4214" s="734" t="s">
        <v>500</v>
      </c>
      <c r="C4214" s="19"/>
      <c r="D4214" s="19"/>
      <c r="E4214" s="48"/>
      <c r="F4214" s="47"/>
      <c r="G4214" s="57"/>
      <c r="H4214" s="21"/>
      <c r="I4214" s="55"/>
      <c r="J4214" s="56"/>
      <c r="K4214" s="5"/>
      <c r="L4214" s="761"/>
    </row>
    <row r="4215" spans="2:12" ht="15">
      <c r="B4215" s="734" t="s">
        <v>461</v>
      </c>
      <c r="C4215" s="39"/>
      <c r="D4215" s="39"/>
      <c r="E4215" s="39"/>
      <c r="F4215" s="39"/>
      <c r="G4215" s="39"/>
      <c r="H4215" s="39"/>
      <c r="I4215" s="39"/>
      <c r="J4215" s="39"/>
      <c r="K4215" s="39"/>
      <c r="L4215" s="738"/>
    </row>
    <row r="4216" spans="2:12" ht="15.75">
      <c r="B4216" s="734" t="s">
        <v>428</v>
      </c>
      <c r="C4216" s="61"/>
      <c r="D4216" s="61">
        <v>0.2</v>
      </c>
      <c r="E4216" s="59">
        <v>0.25</v>
      </c>
      <c r="F4216" s="59">
        <v>240.6</v>
      </c>
      <c r="G4216" s="63"/>
      <c r="H4216" s="64"/>
      <c r="I4216" s="65"/>
      <c r="J4216" s="66"/>
      <c r="K4216" s="52"/>
      <c r="L4216" s="649">
        <f>PRODUCT(C4216:K4216)</f>
        <v>12.030000000000001</v>
      </c>
    </row>
    <row r="4217" spans="2:12" ht="15.75">
      <c r="B4217" s="734"/>
      <c r="C4217" s="61"/>
      <c r="D4217" s="61"/>
      <c r="E4217" s="59"/>
      <c r="F4217" s="59"/>
      <c r="G4217" s="63"/>
      <c r="H4217" s="64"/>
      <c r="I4217" s="65"/>
      <c r="J4217" s="66"/>
      <c r="K4217" s="52"/>
      <c r="L4217" s="649"/>
    </row>
    <row r="4218" spans="2:12" ht="15">
      <c r="B4218" s="734" t="s">
        <v>462</v>
      </c>
      <c r="C4218" s="19"/>
      <c r="D4218" s="39"/>
      <c r="E4218" s="39"/>
      <c r="F4218" s="59"/>
      <c r="G4218" s="39"/>
      <c r="H4218" s="39"/>
      <c r="I4218" s="39"/>
      <c r="J4218" s="39"/>
      <c r="K4218" s="39"/>
      <c r="L4218" s="649"/>
    </row>
    <row r="4219" spans="2:12" ht="15.75">
      <c r="B4219" s="734" t="s">
        <v>428</v>
      </c>
      <c r="C4219" s="19"/>
      <c r="D4219" s="20">
        <v>0.2</v>
      </c>
      <c r="E4219" s="20">
        <v>0.25</v>
      </c>
      <c r="F4219" s="59">
        <v>217.6</v>
      </c>
      <c r="G4219" s="57"/>
      <c r="H4219" s="21"/>
      <c r="I4219" s="47"/>
      <c r="J4219" s="56"/>
      <c r="K4219" s="5"/>
      <c r="L4219" s="649">
        <f t="shared" ref="L4219" si="300">PRODUCT(C4219:K4219)</f>
        <v>10.88</v>
      </c>
    </row>
    <row r="4220" spans="2:12" ht="15">
      <c r="B4220" s="746"/>
      <c r="C4220" s="19"/>
      <c r="D4220" s="20"/>
      <c r="E4220" s="20"/>
      <c r="F4220" s="59"/>
      <c r="G4220" s="19"/>
      <c r="H4220" s="21"/>
      <c r="I4220" s="47"/>
      <c r="J4220" s="56"/>
      <c r="K4220" s="17"/>
      <c r="L4220" s="649"/>
    </row>
    <row r="4221" spans="2:12" ht="16.5">
      <c r="B4221" s="731"/>
      <c r="C4221" s="19"/>
      <c r="D4221" s="20"/>
      <c r="E4221" s="20"/>
      <c r="F4221" s="47"/>
      <c r="G4221" s="20"/>
      <c r="H4221" s="21"/>
      <c r="I4221" s="41"/>
      <c r="J4221" s="46"/>
      <c r="K4221" s="17"/>
      <c r="L4221" s="649"/>
    </row>
    <row r="4222" spans="2:12" ht="15.75">
      <c r="B4222" s="981" t="s">
        <v>414</v>
      </c>
      <c r="C4222" s="982"/>
      <c r="D4222" s="982"/>
      <c r="E4222" s="982"/>
      <c r="F4222" s="982"/>
      <c r="G4222" s="982"/>
      <c r="H4222" s="982"/>
      <c r="I4222" s="982"/>
      <c r="J4222" s="982"/>
      <c r="K4222" s="982"/>
      <c r="L4222" s="983"/>
    </row>
    <row r="4223" spans="2:12">
      <c r="B4223" s="651"/>
      <c r="L4223" s="652"/>
    </row>
    <row r="4224" spans="2:12" ht="15.6" customHeight="1">
      <c r="B4224" s="638" t="s">
        <v>398</v>
      </c>
      <c r="C4224" s="8">
        <v>6</v>
      </c>
      <c r="D4224" s="1008" t="s">
        <v>1030</v>
      </c>
      <c r="E4224" s="1009"/>
      <c r="F4224" s="1009"/>
      <c r="G4224" s="1009"/>
      <c r="H4224" s="1009"/>
      <c r="I4224" s="1009"/>
      <c r="J4224" s="1009"/>
      <c r="K4224" s="1009"/>
      <c r="L4224" s="1010"/>
    </row>
    <row r="4225" spans="2:12" ht="15">
      <c r="B4225" s="1005"/>
      <c r="C4225" s="1006"/>
      <c r="D4225" s="1006"/>
      <c r="E4225" s="1006"/>
      <c r="F4225" s="1006"/>
      <c r="G4225" s="1006"/>
      <c r="H4225" s="1006"/>
      <c r="I4225" s="1006"/>
      <c r="J4225" s="1006"/>
      <c r="K4225" s="1006"/>
      <c r="L4225" s="1007"/>
    </row>
    <row r="4226" spans="2:12" ht="47.25">
      <c r="B4226" s="646" t="s">
        <v>399</v>
      </c>
      <c r="C4226" s="453" t="str">
        <f>+'PROPUESTA ECONOMICA(Proponente)'!C443</f>
        <v>6.10</v>
      </c>
      <c r="D4226" s="454" t="str">
        <f>+VLOOKUP('MEMORIAS DE CANTIDADES'!C4226,'PROPUESTA ECONOMICA(Proponente)'!$C$379:$H$661,5,FALSE)</f>
        <v>Muro en tubería galvanizada de 3"  e: 2.5 mm  h=2.5 m separado cada 15 cm y empotrado 50cm, incluye pintura epoxica poliamida tipo 1.</v>
      </c>
      <c r="E4226" s="22"/>
      <c r="F4226" s="454"/>
      <c r="G4226" s="454"/>
      <c r="H4226" s="454"/>
      <c r="I4226" s="5" t="s">
        <v>400</v>
      </c>
      <c r="J4226" s="454" t="str">
        <f>+VLOOKUP('MEMORIAS DE CANTIDADES'!C4226,'PROPUESTA ECONOMICA(Proponente)'!$C$379:$H$661,6,FALSE)</f>
        <v>ml</v>
      </c>
      <c r="K4226" s="5" t="s">
        <v>401</v>
      </c>
      <c r="L4226" s="783">
        <f>SUM(L4227:L4233)</f>
        <v>717</v>
      </c>
    </row>
    <row r="4227" spans="2:12" ht="15">
      <c r="B4227" s="644"/>
      <c r="C4227" s="16"/>
      <c r="D4227" s="15"/>
      <c r="E4227" s="15"/>
      <c r="F4227" s="15"/>
      <c r="G4227" s="15"/>
      <c r="H4227" s="15"/>
      <c r="I4227" s="15"/>
      <c r="J4227" s="15"/>
      <c r="K4227" s="17"/>
      <c r="L4227" s="645"/>
    </row>
    <row r="4228" spans="2:12" ht="47.25">
      <c r="B4228" s="646" t="s">
        <v>402</v>
      </c>
      <c r="C4228" s="18" t="s">
        <v>403</v>
      </c>
      <c r="D4228" s="18" t="s">
        <v>404</v>
      </c>
      <c r="E4228" s="18" t="s">
        <v>405</v>
      </c>
      <c r="F4228" s="18" t="s">
        <v>406</v>
      </c>
      <c r="G4228" s="18" t="s">
        <v>407</v>
      </c>
      <c r="H4228" s="5" t="s">
        <v>408</v>
      </c>
      <c r="I4228" s="18" t="s">
        <v>409</v>
      </c>
      <c r="J4228" s="5" t="s">
        <v>410</v>
      </c>
      <c r="K4228" s="5" t="s">
        <v>411</v>
      </c>
      <c r="L4228" s="647" t="s">
        <v>412</v>
      </c>
    </row>
    <row r="4229" spans="2:12" ht="30">
      <c r="B4229" s="734" t="s">
        <v>499</v>
      </c>
      <c r="C4229" s="19"/>
      <c r="D4229" s="19"/>
      <c r="E4229" s="48"/>
      <c r="F4229" s="47">
        <v>717</v>
      </c>
      <c r="G4229" s="57"/>
      <c r="H4229" s="21"/>
      <c r="I4229" s="55"/>
      <c r="J4229" s="56"/>
      <c r="K4229" s="5"/>
      <c r="L4229" s="649">
        <f t="shared" ref="L4229" si="301">PRODUCT(C4229:K4229)</f>
        <v>717</v>
      </c>
    </row>
    <row r="4230" spans="2:12" ht="15.75">
      <c r="B4230" s="734"/>
      <c r="C4230" s="19"/>
      <c r="D4230" s="19"/>
      <c r="E4230" s="48"/>
      <c r="F4230" s="47"/>
      <c r="G4230" s="57"/>
      <c r="H4230" s="21"/>
      <c r="J4230" s="56"/>
      <c r="K4230" s="5"/>
      <c r="L4230" s="761"/>
    </row>
    <row r="4231" spans="2:12" ht="15">
      <c r="B4231" s="746"/>
      <c r="C4231" s="19"/>
      <c r="D4231" s="20"/>
      <c r="E4231" s="20"/>
      <c r="F4231" s="59"/>
      <c r="G4231" s="19"/>
      <c r="H4231" s="21"/>
      <c r="I4231" s="47"/>
      <c r="J4231" s="56"/>
      <c r="K4231" s="17"/>
      <c r="L4231" s="649"/>
    </row>
    <row r="4232" spans="2:12" ht="16.5">
      <c r="B4232" s="731"/>
      <c r="C4232" s="19"/>
      <c r="D4232" s="20"/>
      <c r="E4232" s="20"/>
      <c r="F4232" s="47"/>
      <c r="G4232" s="20"/>
      <c r="H4232" s="21"/>
      <c r="I4232" s="41"/>
      <c r="J4232" s="46"/>
      <c r="K4232" s="17"/>
      <c r="L4232" s="649"/>
    </row>
    <row r="4233" spans="2:12" ht="15.75">
      <c r="B4233" s="981" t="s">
        <v>414</v>
      </c>
      <c r="C4233" s="982"/>
      <c r="D4233" s="982"/>
      <c r="E4233" s="982"/>
      <c r="F4233" s="982"/>
      <c r="G4233" s="982"/>
      <c r="H4233" s="982"/>
      <c r="I4233" s="982"/>
      <c r="J4233" s="982"/>
      <c r="K4233" s="982"/>
      <c r="L4233" s="983"/>
    </row>
    <row r="4234" spans="2:12">
      <c r="B4234" s="651"/>
      <c r="L4234" s="652"/>
    </row>
    <row r="4235" spans="2:12" ht="15.6" customHeight="1">
      <c r="B4235" s="638" t="s">
        <v>398</v>
      </c>
      <c r="C4235" s="8">
        <v>6</v>
      </c>
      <c r="D4235" s="1008" t="s">
        <v>1030</v>
      </c>
      <c r="E4235" s="1009"/>
      <c r="F4235" s="1009"/>
      <c r="G4235" s="1009"/>
      <c r="H4235" s="1009"/>
      <c r="I4235" s="1009"/>
      <c r="J4235" s="1009"/>
      <c r="K4235" s="1009"/>
      <c r="L4235" s="1010"/>
    </row>
    <row r="4236" spans="2:12" ht="15">
      <c r="B4236" s="1005"/>
      <c r="C4236" s="1006"/>
      <c r="D4236" s="1006"/>
      <c r="E4236" s="1006"/>
      <c r="F4236" s="1006"/>
      <c r="G4236" s="1006"/>
      <c r="H4236" s="1006"/>
      <c r="I4236" s="1006"/>
      <c r="J4236" s="1006"/>
      <c r="K4236" s="1006"/>
      <c r="L4236" s="1007"/>
    </row>
    <row r="4237" spans="2:12" ht="173.25">
      <c r="B4237" s="733" t="s">
        <v>399</v>
      </c>
      <c r="C4237" s="74">
        <f>+'PROPUESTA ECONOMICA(Proponente)'!C444</f>
        <v>6.11</v>
      </c>
      <c r="D4237" s="12" t="str">
        <f>+VLOOKUP('MEMORIAS DE CANTIDADES'!C4237,'PROPUESTA ECONOMICA(Proponente)'!$C$379:$H$661,5,FALSE)</f>
        <v>CERRAMIENTO EN PANELES GALVANIZADO: Panel reja contemporáneo de acero de 2.4 m de alto por 2.5 de Ancho  con un doble alambre vertical calibre 656 y un alambre horizontal calibre  6 y un alambre horizontal calibre, abertura 50 mm x 200mm.Tubo calibre 16 de 3" x 3" con tapa en polipropileno Y Abrazadera metálica de acero 3" x 3" con tornillo cabeza de coche en acero inoxidable, perno en acero inoxidable y tuerca de seguridad en acero inoxidable.</v>
      </c>
      <c r="E4237" s="13"/>
      <c r="F4237" s="12"/>
      <c r="G4237" s="12"/>
      <c r="H4237" s="12"/>
      <c r="I4237" s="11" t="s">
        <v>400</v>
      </c>
      <c r="J4237" s="12" t="str">
        <f>+VLOOKUP('MEMORIAS DE CANTIDADES'!C4237,'PROPUESTA ECONOMICA(Proponente)'!$C$379:$H$661,6,FALSE)</f>
        <v>m2</v>
      </c>
      <c r="K4237" s="11" t="s">
        <v>401</v>
      </c>
      <c r="L4237" s="643">
        <f>SUM(L4238:L4248)</f>
        <v>1832.8</v>
      </c>
    </row>
    <row r="4238" spans="2:12" ht="15">
      <c r="B4238" s="644"/>
      <c r="C4238" s="16"/>
      <c r="D4238" s="15"/>
      <c r="E4238" s="15"/>
      <c r="F4238" s="15"/>
      <c r="G4238" s="15"/>
      <c r="H4238" s="15"/>
      <c r="I4238" s="15"/>
      <c r="J4238" s="15"/>
      <c r="K4238" s="17"/>
      <c r="L4238" s="645"/>
    </row>
    <row r="4239" spans="2:12" ht="47.25">
      <c r="B4239" s="646" t="s">
        <v>402</v>
      </c>
      <c r="C4239" s="18" t="s">
        <v>403</v>
      </c>
      <c r="D4239" s="18" t="s">
        <v>404</v>
      </c>
      <c r="E4239" s="18" t="s">
        <v>405</v>
      </c>
      <c r="F4239" s="18" t="s">
        <v>406</v>
      </c>
      <c r="G4239" s="18" t="s">
        <v>407</v>
      </c>
      <c r="H4239" s="5" t="s">
        <v>408</v>
      </c>
      <c r="I4239" s="18" t="s">
        <v>409</v>
      </c>
      <c r="J4239" s="5" t="s">
        <v>410</v>
      </c>
      <c r="K4239" s="5" t="s">
        <v>411</v>
      </c>
      <c r="L4239" s="647" t="s">
        <v>412</v>
      </c>
    </row>
    <row r="4240" spans="2:12" ht="15.75">
      <c r="B4240" s="734" t="s">
        <v>500</v>
      </c>
      <c r="C4240" s="19"/>
      <c r="D4240" s="19"/>
      <c r="E4240" s="48"/>
      <c r="F4240" s="47"/>
      <c r="G4240" s="57"/>
      <c r="H4240" s="21"/>
      <c r="I4240" s="55"/>
      <c r="J4240" s="56"/>
      <c r="K4240" s="5"/>
      <c r="L4240" s="761"/>
    </row>
    <row r="4241" spans="2:12" ht="15">
      <c r="B4241" s="734" t="s">
        <v>461</v>
      </c>
      <c r="C4241" s="39"/>
      <c r="D4241" s="39"/>
      <c r="E4241" s="39"/>
      <c r="F4241" s="39"/>
      <c r="G4241" s="39"/>
      <c r="H4241" s="39"/>
      <c r="I4241" s="39"/>
      <c r="J4241" s="39"/>
      <c r="K4241" s="39"/>
      <c r="L4241" s="738"/>
    </row>
    <row r="4242" spans="2:12" ht="15.75">
      <c r="B4242" s="734" t="s">
        <v>428</v>
      </c>
      <c r="C4242" s="61"/>
      <c r="D4242" s="61"/>
      <c r="E4242" s="59">
        <v>4</v>
      </c>
      <c r="F4242" s="59">
        <v>240.6</v>
      </c>
      <c r="G4242" s="63"/>
      <c r="H4242" s="64"/>
      <c r="I4242" s="65"/>
      <c r="J4242" s="66"/>
      <c r="K4242" s="52"/>
      <c r="L4242" s="649">
        <f>PRODUCT(C4242:K4242)</f>
        <v>962.4</v>
      </c>
    </row>
    <row r="4243" spans="2:12" ht="15.75">
      <c r="B4243" s="734"/>
      <c r="C4243" s="61"/>
      <c r="D4243" s="61"/>
      <c r="E4243" s="59"/>
      <c r="F4243" s="59"/>
      <c r="G4243" s="63"/>
      <c r="H4243" s="64"/>
      <c r="I4243" s="65"/>
      <c r="J4243" s="66"/>
      <c r="K4243" s="52"/>
      <c r="L4243" s="649"/>
    </row>
    <row r="4244" spans="2:12" ht="15">
      <c r="B4244" s="734" t="s">
        <v>462</v>
      </c>
      <c r="C4244" s="19"/>
      <c r="D4244" s="39"/>
      <c r="E4244" s="39"/>
      <c r="F4244" s="59"/>
      <c r="G4244" s="39"/>
      <c r="H4244" s="39"/>
      <c r="I4244" s="39"/>
      <c r="J4244" s="39"/>
      <c r="K4244" s="39"/>
      <c r="L4244" s="649"/>
    </row>
    <row r="4245" spans="2:12" ht="15.75">
      <c r="B4245" s="734" t="s">
        <v>428</v>
      </c>
      <c r="C4245" s="19"/>
      <c r="D4245" s="20"/>
      <c r="E4245" s="59">
        <v>4</v>
      </c>
      <c r="F4245" s="59">
        <v>217.6</v>
      </c>
      <c r="G4245" s="57"/>
      <c r="H4245" s="21"/>
      <c r="I4245" s="47"/>
      <c r="J4245" s="56"/>
      <c r="K4245" s="5"/>
      <c r="L4245" s="649">
        <f t="shared" ref="L4245" si="302">PRODUCT(C4245:K4245)</f>
        <v>870.4</v>
      </c>
    </row>
    <row r="4246" spans="2:12" ht="15">
      <c r="B4246" s="746"/>
      <c r="C4246" s="19"/>
      <c r="D4246" s="20"/>
      <c r="E4246" s="20"/>
      <c r="F4246" s="59"/>
      <c r="G4246" s="19"/>
      <c r="H4246" s="21"/>
      <c r="I4246" s="47"/>
      <c r="J4246" s="56"/>
      <c r="K4246" s="17"/>
      <c r="L4246" s="649"/>
    </row>
    <row r="4247" spans="2:12" ht="16.5">
      <c r="B4247" s="731"/>
      <c r="C4247" s="19"/>
      <c r="D4247" s="20"/>
      <c r="E4247" s="20"/>
      <c r="F4247" s="47"/>
      <c r="G4247" s="20"/>
      <c r="H4247" s="21"/>
      <c r="I4247" s="41"/>
      <c r="J4247" s="46"/>
      <c r="K4247" s="17"/>
      <c r="L4247" s="649"/>
    </row>
    <row r="4248" spans="2:12" ht="15.75">
      <c r="B4248" s="981" t="s">
        <v>414</v>
      </c>
      <c r="C4248" s="982"/>
      <c r="D4248" s="982"/>
      <c r="E4248" s="982"/>
      <c r="F4248" s="982"/>
      <c r="G4248" s="982"/>
      <c r="H4248" s="982"/>
      <c r="I4248" s="982"/>
      <c r="J4248" s="982"/>
      <c r="K4248" s="982"/>
      <c r="L4248" s="983"/>
    </row>
    <row r="4249" spans="2:12">
      <c r="B4249" s="651"/>
      <c r="L4249" s="652"/>
    </row>
    <row r="4250" spans="2:12" ht="15.6" customHeight="1">
      <c r="B4250" s="638" t="s">
        <v>398</v>
      </c>
      <c r="C4250" s="8">
        <v>6</v>
      </c>
      <c r="D4250" s="1008" t="s">
        <v>1030</v>
      </c>
      <c r="E4250" s="1009"/>
      <c r="F4250" s="1009"/>
      <c r="G4250" s="1009"/>
      <c r="H4250" s="1009"/>
      <c r="I4250" s="1009"/>
      <c r="J4250" s="1009"/>
      <c r="K4250" s="1009"/>
      <c r="L4250" s="1010"/>
    </row>
    <row r="4251" spans="2:12" ht="15">
      <c r="B4251" s="1005"/>
      <c r="C4251" s="1006"/>
      <c r="D4251" s="1006"/>
      <c r="E4251" s="1006"/>
      <c r="F4251" s="1006"/>
      <c r="G4251" s="1006"/>
      <c r="H4251" s="1006"/>
      <c r="I4251" s="1006"/>
      <c r="J4251" s="1006"/>
      <c r="K4251" s="1006"/>
      <c r="L4251" s="1007"/>
    </row>
    <row r="4252" spans="2:12" ht="31.5">
      <c r="B4252" s="733" t="s">
        <v>399</v>
      </c>
      <c r="C4252" s="29">
        <f>+'PROPUESTA ECONOMICA(Proponente)'!C445</f>
        <v>6.12</v>
      </c>
      <c r="D4252" s="12" t="str">
        <f>+VLOOKUP('MEMORIAS DE CANTIDADES'!C4252,'PROPUESTA ECONOMICA(Proponente)'!$C$379:$H$661,5,FALSE)</f>
        <v>Pañete en  mortero 1:3 para muros y paredes (incluye suministro)</v>
      </c>
      <c r="E4252" s="13"/>
      <c r="F4252" s="12"/>
      <c r="G4252" s="12"/>
      <c r="H4252" s="12"/>
      <c r="I4252" s="11" t="s">
        <v>400</v>
      </c>
      <c r="J4252" s="12" t="str">
        <f>+VLOOKUP('MEMORIAS DE CANTIDADES'!C4252,'PROPUESTA ECONOMICA(Proponente)'!$C$379:$H$661,6,FALSE)</f>
        <v>m2</v>
      </c>
      <c r="K4252" s="11" t="s">
        <v>401</v>
      </c>
      <c r="L4252" s="837">
        <f>SUM(L4253:L4262)</f>
        <v>2332.0720000000001</v>
      </c>
    </row>
    <row r="4253" spans="2:12" ht="15">
      <c r="B4253" s="644"/>
      <c r="C4253" s="16"/>
      <c r="D4253" s="15"/>
      <c r="E4253" s="15"/>
      <c r="F4253" s="15"/>
      <c r="G4253" s="15"/>
      <c r="H4253" s="15"/>
      <c r="I4253" s="15"/>
      <c r="J4253" s="15"/>
      <c r="K4253" s="17"/>
      <c r="L4253" s="645"/>
    </row>
    <row r="4254" spans="2:12" ht="47.25">
      <c r="B4254" s="646" t="s">
        <v>402</v>
      </c>
      <c r="C4254" s="18" t="s">
        <v>403</v>
      </c>
      <c r="D4254" s="18" t="s">
        <v>404</v>
      </c>
      <c r="E4254" s="18" t="s">
        <v>405</v>
      </c>
      <c r="F4254" s="18" t="s">
        <v>406</v>
      </c>
      <c r="G4254" s="18" t="s">
        <v>407</v>
      </c>
      <c r="H4254" s="5" t="s">
        <v>408</v>
      </c>
      <c r="I4254" s="18" t="s">
        <v>409</v>
      </c>
      <c r="J4254" s="5" t="s">
        <v>410</v>
      </c>
      <c r="K4254" s="5" t="s">
        <v>411</v>
      </c>
      <c r="L4254" s="647" t="s">
        <v>412</v>
      </c>
    </row>
    <row r="4255" spans="2:12" ht="30">
      <c r="B4255" s="734" t="s">
        <v>499</v>
      </c>
      <c r="C4255" s="19"/>
      <c r="D4255" s="19"/>
      <c r="E4255" s="48">
        <v>1</v>
      </c>
      <c r="F4255" s="47">
        <v>717</v>
      </c>
      <c r="G4255" s="57"/>
      <c r="H4255" s="21"/>
      <c r="I4255" s="34">
        <v>2</v>
      </c>
      <c r="J4255" s="56"/>
      <c r="K4255" s="5"/>
      <c r="L4255" s="649">
        <f t="shared" ref="L4255" si="303">PRODUCT(C4255:K4255)</f>
        <v>1434</v>
      </c>
    </row>
    <row r="4256" spans="2:12" ht="15.75">
      <c r="B4256" s="734"/>
      <c r="C4256" s="19"/>
      <c r="D4256" s="19"/>
      <c r="E4256" s="48"/>
      <c r="F4256" s="47"/>
      <c r="G4256" s="57"/>
      <c r="H4256" s="21"/>
      <c r="J4256" s="56"/>
      <c r="K4256" s="5"/>
      <c r="L4256" s="761"/>
    </row>
    <row r="4257" spans="2:12" ht="15.75">
      <c r="B4257" s="734" t="s">
        <v>500</v>
      </c>
      <c r="C4257" s="19"/>
      <c r="D4257" s="19"/>
      <c r="E4257" s="48"/>
      <c r="F4257" s="47"/>
      <c r="G4257" s="57"/>
      <c r="H4257" s="21"/>
      <c r="I4257" s="55"/>
      <c r="J4257" s="56"/>
      <c r="K4257" s="5"/>
      <c r="L4257" s="761"/>
    </row>
    <row r="4258" spans="2:12" ht="15">
      <c r="B4258" s="734" t="s">
        <v>461</v>
      </c>
      <c r="C4258" s="39"/>
      <c r="D4258" s="39"/>
      <c r="E4258" s="59">
        <v>0.7</v>
      </c>
      <c r="F4258" s="59">
        <v>240.6</v>
      </c>
      <c r="G4258" s="63"/>
      <c r="H4258" s="64"/>
      <c r="I4258" s="65"/>
      <c r="J4258" s="66">
        <v>1</v>
      </c>
      <c r="K4258" s="39"/>
      <c r="L4258" s="649">
        <f>PRODUCT(C4258:K4258)</f>
        <v>168.42</v>
      </c>
    </row>
    <row r="4259" spans="2:12" ht="15.75">
      <c r="B4259" s="734" t="s">
        <v>885</v>
      </c>
      <c r="C4259" s="61"/>
      <c r="D4259" s="61"/>
      <c r="E4259" s="59">
        <v>1.26</v>
      </c>
      <c r="F4259" s="59">
        <v>240.6</v>
      </c>
      <c r="G4259" s="63"/>
      <c r="H4259" s="64"/>
      <c r="I4259" s="65"/>
      <c r="J4259" s="66">
        <v>1</v>
      </c>
      <c r="K4259" s="52"/>
      <c r="L4259" s="649">
        <f>PRODUCT(C4259:K4259)</f>
        <v>303.15600000000001</v>
      </c>
    </row>
    <row r="4260" spans="2:12" ht="15.75">
      <c r="B4260" s="734"/>
      <c r="C4260" s="61"/>
      <c r="D4260" s="61"/>
      <c r="E4260" s="59"/>
      <c r="F4260" s="59"/>
      <c r="G4260" s="63"/>
      <c r="H4260" s="64"/>
      <c r="I4260" s="65"/>
      <c r="J4260" s="66"/>
      <c r="K4260" s="52"/>
      <c r="L4260" s="649"/>
    </row>
    <row r="4261" spans="2:12" ht="15">
      <c r="B4261" s="734" t="s">
        <v>462</v>
      </c>
      <c r="C4261" s="19"/>
      <c r="D4261" s="39"/>
      <c r="E4261" s="20">
        <v>0.7</v>
      </c>
      <c r="F4261" s="59">
        <v>217.6</v>
      </c>
      <c r="G4261" s="57"/>
      <c r="H4261" s="21"/>
      <c r="I4261" s="47"/>
      <c r="J4261" s="56">
        <v>1</v>
      </c>
      <c r="K4261" s="39"/>
      <c r="L4261" s="649">
        <f t="shared" ref="L4261:L4262" si="304">PRODUCT(C4261:K4261)</f>
        <v>152.32</v>
      </c>
    </row>
    <row r="4262" spans="2:12" ht="15.75">
      <c r="B4262" s="734" t="s">
        <v>885</v>
      </c>
      <c r="C4262" s="19"/>
      <c r="D4262" s="20"/>
      <c r="E4262" s="20">
        <v>1.26</v>
      </c>
      <c r="F4262" s="59">
        <v>217.6</v>
      </c>
      <c r="G4262" s="57"/>
      <c r="H4262" s="21"/>
      <c r="I4262" s="47"/>
      <c r="J4262" s="56">
        <v>1</v>
      </c>
      <c r="K4262" s="5"/>
      <c r="L4262" s="649">
        <f t="shared" si="304"/>
        <v>274.17599999999999</v>
      </c>
    </row>
    <row r="4263" spans="2:12">
      <c r="B4263" s="651"/>
      <c r="L4263" s="652"/>
    </row>
    <row r="4264" spans="2:12" ht="15.6" customHeight="1">
      <c r="B4264" s="638" t="s">
        <v>398</v>
      </c>
      <c r="C4264" s="8">
        <v>6</v>
      </c>
      <c r="D4264" s="1008" t="s">
        <v>1030</v>
      </c>
      <c r="E4264" s="1009"/>
      <c r="F4264" s="1009"/>
      <c r="G4264" s="1009"/>
      <c r="H4264" s="1009"/>
      <c r="I4264" s="1009"/>
      <c r="J4264" s="1009"/>
      <c r="K4264" s="1009"/>
      <c r="L4264" s="1010"/>
    </row>
    <row r="4265" spans="2:12" ht="15">
      <c r="B4265" s="1005"/>
      <c r="C4265" s="1006"/>
      <c r="D4265" s="1006"/>
      <c r="E4265" s="1006"/>
      <c r="F4265" s="1006"/>
      <c r="G4265" s="1006"/>
      <c r="H4265" s="1006"/>
      <c r="I4265" s="1006"/>
      <c r="J4265" s="1006"/>
      <c r="K4265" s="1006"/>
      <c r="L4265" s="1007"/>
    </row>
    <row r="4266" spans="2:12" ht="31.5">
      <c r="B4266" s="733" t="s">
        <v>399</v>
      </c>
      <c r="C4266" s="29">
        <f>+'PROPUESTA ECONOMICA(Proponente)'!C446</f>
        <v>6.13</v>
      </c>
      <c r="D4266" s="12" t="str">
        <f>+VLOOKUP('MEMORIAS DE CANTIDADES'!C4266,'PROPUESTA ECONOMICA(Proponente)'!$C$379:$H$661,5,FALSE)</f>
        <v>Pintura en Vinilo tipo Koraza o similar para exterior, dos manos. Incluye suministro.</v>
      </c>
      <c r="E4266" s="13"/>
      <c r="F4266" s="12"/>
      <c r="G4266" s="12"/>
      <c r="H4266" s="12"/>
      <c r="I4266" s="11" t="s">
        <v>400</v>
      </c>
      <c r="J4266" s="12" t="str">
        <f>+VLOOKUP('MEMORIAS DE CANTIDADES'!C4266,'PROPUESTA ECONOMICA(Proponente)'!$C$379:$H$661,6,FALSE)</f>
        <v>m2</v>
      </c>
      <c r="K4266" s="11" t="s">
        <v>401</v>
      </c>
      <c r="L4266" s="643">
        <f>SUM(L4267:L4279)</f>
        <v>2808.6000000000004</v>
      </c>
    </row>
    <row r="4267" spans="2:12" ht="15">
      <c r="B4267" s="644"/>
      <c r="C4267" s="16"/>
      <c r="D4267" s="15"/>
      <c r="E4267" s="15"/>
      <c r="F4267" s="15"/>
      <c r="G4267" s="15"/>
      <c r="H4267" s="15"/>
      <c r="I4267" s="15"/>
      <c r="J4267" s="15"/>
      <c r="K4267" s="17"/>
      <c r="L4267" s="645"/>
    </row>
    <row r="4268" spans="2:12" ht="47.25">
      <c r="B4268" s="646" t="s">
        <v>402</v>
      </c>
      <c r="C4268" s="18" t="s">
        <v>403</v>
      </c>
      <c r="D4268" s="18" t="s">
        <v>404</v>
      </c>
      <c r="E4268" s="18" t="s">
        <v>405</v>
      </c>
      <c r="F4268" s="18" t="s">
        <v>406</v>
      </c>
      <c r="G4268" s="18" t="s">
        <v>407</v>
      </c>
      <c r="H4268" s="5" t="s">
        <v>408</v>
      </c>
      <c r="I4268" s="18" t="s">
        <v>409</v>
      </c>
      <c r="J4268" s="5" t="s">
        <v>410</v>
      </c>
      <c r="K4268" s="5" t="s">
        <v>411</v>
      </c>
      <c r="L4268" s="647" t="s">
        <v>412</v>
      </c>
    </row>
    <row r="4269" spans="2:12" ht="30">
      <c r="B4269" s="734" t="s">
        <v>499</v>
      </c>
      <c r="C4269" s="19"/>
      <c r="D4269" s="19"/>
      <c r="E4269" s="48">
        <v>1</v>
      </c>
      <c r="F4269" s="47">
        <v>717</v>
      </c>
      <c r="G4269" s="57"/>
      <c r="H4269" s="21"/>
      <c r="I4269" s="55"/>
      <c r="J4269" s="56">
        <v>2</v>
      </c>
      <c r="K4269" s="5"/>
      <c r="L4269" s="649">
        <f t="shared" ref="L4269" si="305">PRODUCT(C4269:K4269)</f>
        <v>1434</v>
      </c>
    </row>
    <row r="4270" spans="2:12" ht="15.75">
      <c r="B4270" s="734"/>
      <c r="C4270" s="19"/>
      <c r="D4270" s="19"/>
      <c r="E4270" s="48"/>
      <c r="F4270" s="47"/>
      <c r="G4270" s="57"/>
      <c r="H4270" s="21"/>
      <c r="J4270" s="56"/>
      <c r="K4270" s="5"/>
      <c r="L4270" s="761"/>
    </row>
    <row r="4271" spans="2:12" ht="15.75">
      <c r="B4271" s="734" t="s">
        <v>500</v>
      </c>
      <c r="C4271" s="19"/>
      <c r="D4271" s="19"/>
      <c r="E4271" s="48"/>
      <c r="F4271" s="47"/>
      <c r="G4271" s="57"/>
      <c r="H4271" s="21"/>
      <c r="I4271" s="55"/>
      <c r="J4271" s="56"/>
      <c r="K4271" s="5"/>
      <c r="L4271" s="761"/>
    </row>
    <row r="4272" spans="2:12" ht="15">
      <c r="B4272" s="734" t="s">
        <v>461</v>
      </c>
      <c r="C4272" s="39"/>
      <c r="D4272" s="39"/>
      <c r="E4272" s="39"/>
      <c r="F4272" s="39"/>
      <c r="G4272" s="39"/>
      <c r="H4272" s="39"/>
      <c r="I4272" s="39"/>
      <c r="J4272" s="39"/>
      <c r="K4272" s="39"/>
      <c r="L4272" s="738"/>
    </row>
    <row r="4273" spans="2:12" ht="15.75">
      <c r="B4273" s="734"/>
      <c r="C4273" s="61"/>
      <c r="D4273" s="61"/>
      <c r="E4273" s="59">
        <v>1.5</v>
      </c>
      <c r="F4273" s="59">
        <v>240.6</v>
      </c>
      <c r="G4273" s="63"/>
      <c r="H4273" s="64"/>
      <c r="I4273" s="65"/>
      <c r="J4273" s="66">
        <v>2</v>
      </c>
      <c r="K4273" s="52"/>
      <c r="L4273" s="649">
        <f>PRODUCT(C4273:K4273)</f>
        <v>721.8</v>
      </c>
    </row>
    <row r="4274" spans="2:12" ht="15.75">
      <c r="B4274" s="734"/>
      <c r="C4274" s="61"/>
      <c r="D4274" s="61"/>
      <c r="E4274" s="59"/>
      <c r="F4274" s="59"/>
      <c r="G4274" s="63"/>
      <c r="H4274" s="64"/>
      <c r="I4274" s="65"/>
      <c r="J4274" s="66"/>
      <c r="K4274" s="52"/>
      <c r="L4274" s="649"/>
    </row>
    <row r="4275" spans="2:12" ht="15">
      <c r="B4275" s="734" t="s">
        <v>462</v>
      </c>
      <c r="C4275" s="19"/>
      <c r="D4275" s="39"/>
      <c r="E4275" s="39"/>
      <c r="F4275" s="59"/>
      <c r="G4275" s="39"/>
      <c r="H4275" s="39"/>
      <c r="I4275" s="39"/>
      <c r="J4275" s="39"/>
      <c r="K4275" s="39"/>
      <c r="L4275" s="649"/>
    </row>
    <row r="4276" spans="2:12" ht="15.75">
      <c r="B4276" s="734"/>
      <c r="C4276" s="19"/>
      <c r="D4276" s="20"/>
      <c r="E4276" s="20">
        <v>1.5</v>
      </c>
      <c r="F4276" s="59">
        <v>217.6</v>
      </c>
      <c r="G4276" s="57"/>
      <c r="H4276" s="21"/>
      <c r="I4276" s="47"/>
      <c r="J4276" s="56">
        <v>2</v>
      </c>
      <c r="K4276" s="5"/>
      <c r="L4276" s="649">
        <f t="shared" ref="L4276" si="306">PRODUCT(C4276:K4276)</f>
        <v>652.79999999999995</v>
      </c>
    </row>
    <row r="4277" spans="2:12" ht="15">
      <c r="B4277" s="746"/>
      <c r="C4277" s="19"/>
      <c r="D4277" s="20"/>
      <c r="E4277" s="20"/>
      <c r="F4277" s="59"/>
      <c r="G4277" s="19"/>
      <c r="H4277" s="21"/>
      <c r="I4277" s="47"/>
      <c r="J4277" s="56"/>
      <c r="K4277" s="17"/>
      <c r="L4277" s="649"/>
    </row>
    <row r="4278" spans="2:12" ht="16.5">
      <c r="B4278" s="731"/>
      <c r="C4278" s="19"/>
      <c r="D4278" s="20"/>
      <c r="E4278" s="20"/>
      <c r="F4278" s="47"/>
      <c r="G4278" s="20"/>
      <c r="H4278" s="21"/>
      <c r="I4278" s="41"/>
      <c r="J4278" s="46"/>
      <c r="K4278" s="17"/>
      <c r="L4278" s="649"/>
    </row>
    <row r="4279" spans="2:12" ht="15.75">
      <c r="B4279" s="981" t="s">
        <v>414</v>
      </c>
      <c r="C4279" s="982"/>
      <c r="D4279" s="982"/>
      <c r="E4279" s="982"/>
      <c r="F4279" s="982"/>
      <c r="G4279" s="982"/>
      <c r="H4279" s="982"/>
      <c r="I4279" s="982"/>
      <c r="J4279" s="982"/>
      <c r="K4279" s="982"/>
      <c r="L4279" s="983"/>
    </row>
    <row r="4280" spans="2:12">
      <c r="B4280" s="651"/>
      <c r="L4280" s="652"/>
    </row>
    <row r="4281" spans="2:12" ht="15.6" customHeight="1">
      <c r="B4281" s="733" t="s">
        <v>398</v>
      </c>
      <c r="C4281" s="8">
        <v>7</v>
      </c>
      <c r="D4281" s="1008" t="s">
        <v>1031</v>
      </c>
      <c r="E4281" s="1009"/>
      <c r="F4281" s="1009"/>
      <c r="G4281" s="1009"/>
      <c r="H4281" s="1009"/>
      <c r="I4281" s="1009"/>
      <c r="J4281" s="1009"/>
      <c r="K4281" s="1009"/>
      <c r="L4281" s="1010"/>
    </row>
    <row r="4282" spans="2:12" ht="15">
      <c r="B4282" s="1005"/>
      <c r="C4282" s="1006"/>
      <c r="D4282" s="1006"/>
      <c r="E4282" s="1006"/>
      <c r="F4282" s="1006"/>
      <c r="G4282" s="1006"/>
      <c r="H4282" s="1006"/>
      <c r="I4282" s="1006"/>
      <c r="J4282" s="1006"/>
      <c r="K4282" s="1006"/>
      <c r="L4282" s="1007"/>
    </row>
    <row r="4283" spans="2:12" ht="78.75">
      <c r="B4283" s="653" t="s">
        <v>399</v>
      </c>
      <c r="C4283" s="25">
        <f>+'PROPUESTA ECONOMICA(Proponente)'!C449</f>
        <v>7.1</v>
      </c>
      <c r="D4283" s="12" t="str">
        <f>+VLOOKUP('MEMORIAS DE CANTIDADES'!C4283,'PROPUESTA ECONOMICA(Proponente)'!$C$379:$H$661,5,FALSE)</f>
        <v>Cubierta en lamina tipo Sándwich con aislante en poliuretano PUR expandido de alta densidad espesor 30mm, Incluye kit de fijación para cubierta, accesorio de aceros D305 - DC10 e instalación de la lamina.</v>
      </c>
      <c r="E4283" s="13"/>
      <c r="F4283" s="12"/>
      <c r="G4283" s="12"/>
      <c r="H4283" s="12"/>
      <c r="I4283" s="11" t="s">
        <v>400</v>
      </c>
      <c r="J4283" s="12" t="str">
        <f>+VLOOKUP('MEMORIAS DE CANTIDADES'!C4283,'PROPUESTA ECONOMICA(Proponente)'!$C$379:$H$661,6,FALSE)</f>
        <v>m2</v>
      </c>
      <c r="K4283" s="11" t="s">
        <v>401</v>
      </c>
      <c r="L4283" s="643">
        <f>SUM(L4284:L4291)</f>
        <v>950.9</v>
      </c>
    </row>
    <row r="4284" spans="2:12" ht="15">
      <c r="B4284" s="644"/>
      <c r="C4284" s="16"/>
      <c r="D4284" s="15"/>
      <c r="E4284" s="15"/>
      <c r="F4284" s="15"/>
      <c r="G4284" s="15"/>
      <c r="H4284" s="15"/>
      <c r="I4284" s="15"/>
      <c r="J4284" s="15"/>
      <c r="K4284" s="17"/>
      <c r="L4284" s="645"/>
    </row>
    <row r="4285" spans="2:12" ht="47.25">
      <c r="B4285" s="646" t="s">
        <v>402</v>
      </c>
      <c r="C4285" s="18" t="s">
        <v>403</v>
      </c>
      <c r="D4285" s="18" t="s">
        <v>404</v>
      </c>
      <c r="E4285" s="18" t="s">
        <v>405</v>
      </c>
      <c r="F4285" s="18" t="s">
        <v>406</v>
      </c>
      <c r="G4285" s="18" t="s">
        <v>407</v>
      </c>
      <c r="H4285" s="5" t="s">
        <v>408</v>
      </c>
      <c r="I4285" s="18" t="s">
        <v>409</v>
      </c>
      <c r="J4285" s="5" t="s">
        <v>410</v>
      </c>
      <c r="K4285" s="5" t="s">
        <v>411</v>
      </c>
      <c r="L4285" s="647" t="s">
        <v>412</v>
      </c>
    </row>
    <row r="4286" spans="2:12" ht="15">
      <c r="B4286" s="648" t="s">
        <v>461</v>
      </c>
      <c r="C4286" s="19">
        <v>429.2</v>
      </c>
      <c r="D4286" s="19"/>
      <c r="E4286" s="19"/>
      <c r="F4286" s="19"/>
      <c r="G4286" s="20"/>
      <c r="H4286" s="68"/>
      <c r="I4286" s="28">
        <v>1</v>
      </c>
      <c r="J4286" s="28"/>
      <c r="K4286" s="17"/>
      <c r="L4286" s="649">
        <f t="shared" ref="L4286:L4288" si="307">PRODUCT(C4286:K4286)</f>
        <v>429.2</v>
      </c>
    </row>
    <row r="4287" spans="2:12" ht="15">
      <c r="B4287" s="648" t="s">
        <v>462</v>
      </c>
      <c r="C4287" s="19">
        <v>429.2</v>
      </c>
      <c r="D4287" s="19"/>
      <c r="E4287" s="19"/>
      <c r="F4287" s="19"/>
      <c r="G4287" s="20"/>
      <c r="H4287" s="68"/>
      <c r="I4287" s="28">
        <v>1</v>
      </c>
      <c r="J4287" s="19"/>
      <c r="K4287" s="17"/>
      <c r="L4287" s="649">
        <f t="shared" si="307"/>
        <v>429.2</v>
      </c>
    </row>
    <row r="4288" spans="2:12" ht="15">
      <c r="B4288" s="650" t="s">
        <v>1067</v>
      </c>
      <c r="C4288" s="20">
        <v>92.5</v>
      </c>
      <c r="D4288" s="20"/>
      <c r="E4288" s="20"/>
      <c r="F4288" s="20"/>
      <c r="G4288" s="20"/>
      <c r="H4288" s="20"/>
      <c r="I4288" s="28">
        <v>1</v>
      </c>
      <c r="J4288" s="19"/>
      <c r="K4288" s="17"/>
      <c r="L4288" s="649">
        <f t="shared" si="307"/>
        <v>92.5</v>
      </c>
    </row>
    <row r="4289" spans="2:12" ht="15">
      <c r="B4289" s="650"/>
      <c r="C4289" s="20"/>
      <c r="D4289" s="20"/>
      <c r="E4289" s="20"/>
      <c r="F4289" s="20"/>
      <c r="G4289" s="20"/>
      <c r="H4289" s="19"/>
      <c r="I4289" s="20"/>
      <c r="J4289" s="19"/>
      <c r="K4289" s="17"/>
      <c r="L4289" s="649"/>
    </row>
    <row r="4290" spans="2:12" ht="15">
      <c r="B4290" s="650"/>
      <c r="C4290" s="20"/>
      <c r="D4290" s="20"/>
      <c r="E4290" s="20"/>
      <c r="F4290" s="20"/>
      <c r="G4290" s="20"/>
      <c r="H4290" s="19"/>
      <c r="I4290" s="20"/>
      <c r="J4290" s="19"/>
      <c r="K4290" s="17"/>
      <c r="L4290" s="645"/>
    </row>
    <row r="4291" spans="2:12" ht="15.75">
      <c r="B4291" s="981" t="s">
        <v>414</v>
      </c>
      <c r="C4291" s="982"/>
      <c r="D4291" s="982"/>
      <c r="E4291" s="982"/>
      <c r="F4291" s="982"/>
      <c r="G4291" s="982"/>
      <c r="H4291" s="982"/>
      <c r="I4291" s="982"/>
      <c r="J4291" s="982"/>
      <c r="K4291" s="982"/>
      <c r="L4291" s="983"/>
    </row>
    <row r="4292" spans="2:12">
      <c r="B4292" s="651"/>
      <c r="L4292" s="652"/>
    </row>
    <row r="4293" spans="2:12">
      <c r="B4293" s="651"/>
      <c r="L4293" s="652"/>
    </row>
    <row r="4294" spans="2:12" ht="15.6" customHeight="1">
      <c r="B4294" s="638" t="s">
        <v>398</v>
      </c>
      <c r="C4294" s="8">
        <v>7</v>
      </c>
      <c r="D4294" s="1008" t="s">
        <v>1031</v>
      </c>
      <c r="E4294" s="1009"/>
      <c r="F4294" s="1009"/>
      <c r="G4294" s="1009"/>
      <c r="H4294" s="1009"/>
      <c r="I4294" s="1009"/>
      <c r="J4294" s="1009"/>
      <c r="K4294" s="1009"/>
      <c r="L4294" s="1010"/>
    </row>
    <row r="4295" spans="2:12" ht="15">
      <c r="B4295" s="1005"/>
      <c r="C4295" s="1006"/>
      <c r="D4295" s="1006"/>
      <c r="E4295" s="1006"/>
      <c r="F4295" s="1006"/>
      <c r="G4295" s="1006"/>
      <c r="H4295" s="1006"/>
      <c r="I4295" s="1006"/>
      <c r="J4295" s="1006"/>
      <c r="K4295" s="1006"/>
      <c r="L4295" s="1007"/>
    </row>
    <row r="4296" spans="2:12" ht="15.6" customHeight="1">
      <c r="B4296" s="733" t="s">
        <v>399</v>
      </c>
      <c r="C4296" s="25">
        <f>+'PROPUESTA ECONOMICA(Proponente)'!C450</f>
        <v>7.2</v>
      </c>
      <c r="D4296" s="12" t="str">
        <f>+VLOOKUP('MEMORIAS DE CANTIDADES'!C4296,'PROPUESTA ECONOMICA(Proponente)'!$C$379:$H$661,5,FALSE)</f>
        <v>Cubiertas metálica con estructura tubular y paneles de policarbonato alveolar traslucido gris ahumado para  Banca suplentes</v>
      </c>
      <c r="E4296" s="13"/>
      <c r="F4296" s="12"/>
      <c r="G4296" s="12"/>
      <c r="H4296" s="12"/>
      <c r="I4296" s="11" t="s">
        <v>400</v>
      </c>
      <c r="J4296" s="12" t="str">
        <f>+VLOOKUP('MEMORIAS DE CANTIDADES'!C4296,'PROPUESTA ECONOMICA(Proponente)'!$C$379:$H$661,6,FALSE)</f>
        <v>m2</v>
      </c>
      <c r="K4296" s="11" t="s">
        <v>401</v>
      </c>
      <c r="L4296" s="643">
        <f>SUM(L4297:L4304)</f>
        <v>52</v>
      </c>
    </row>
    <row r="4297" spans="2:12" ht="15">
      <c r="B4297" s="644"/>
      <c r="C4297" s="16"/>
      <c r="D4297" s="15"/>
      <c r="E4297" s="15"/>
      <c r="F4297" s="15"/>
      <c r="G4297" s="15"/>
      <c r="H4297" s="15"/>
      <c r="I4297" s="15"/>
      <c r="J4297" s="15"/>
      <c r="K4297" s="17"/>
      <c r="L4297" s="645"/>
    </row>
    <row r="4298" spans="2:12" ht="47.25">
      <c r="B4298" s="646" t="s">
        <v>402</v>
      </c>
      <c r="C4298" s="18" t="s">
        <v>403</v>
      </c>
      <c r="D4298" s="18" t="s">
        <v>404</v>
      </c>
      <c r="E4298" s="18" t="s">
        <v>405</v>
      </c>
      <c r="F4298" s="18" t="s">
        <v>406</v>
      </c>
      <c r="G4298" s="18" t="s">
        <v>407</v>
      </c>
      <c r="H4298" s="5" t="s">
        <v>408</v>
      </c>
      <c r="I4298" s="18" t="s">
        <v>409</v>
      </c>
      <c r="J4298" s="5" t="s">
        <v>410</v>
      </c>
      <c r="K4298" s="5" t="s">
        <v>411</v>
      </c>
      <c r="L4298" s="647" t="s">
        <v>412</v>
      </c>
    </row>
    <row r="4299" spans="2:12" ht="15">
      <c r="B4299" s="648" t="s">
        <v>883</v>
      </c>
      <c r="C4299" s="20">
        <v>13</v>
      </c>
      <c r="D4299" s="19"/>
      <c r="E4299" s="19"/>
      <c r="F4299" s="19"/>
      <c r="G4299" s="20"/>
      <c r="H4299" s="68"/>
      <c r="I4299" s="17"/>
      <c r="J4299" s="28">
        <v>2</v>
      </c>
      <c r="K4299" s="17"/>
      <c r="L4299" s="649">
        <f>PRODUCT(C4299:K4299)</f>
        <v>26</v>
      </c>
    </row>
    <row r="4300" spans="2:12" ht="15">
      <c r="B4300" s="648" t="s">
        <v>884</v>
      </c>
      <c r="C4300" s="20">
        <v>13</v>
      </c>
      <c r="D4300" s="19"/>
      <c r="E4300" s="19"/>
      <c r="F4300" s="19"/>
      <c r="G4300" s="20"/>
      <c r="H4300" s="68"/>
      <c r="I4300" s="17"/>
      <c r="J4300" s="19">
        <v>2</v>
      </c>
      <c r="K4300" s="17"/>
      <c r="L4300" s="649">
        <f t="shared" ref="L4300" si="308">PRODUCT(C4300:K4300)</f>
        <v>26</v>
      </c>
    </row>
    <row r="4301" spans="2:12" ht="15">
      <c r="B4301" s="650"/>
      <c r="C4301" s="20"/>
      <c r="D4301" s="20"/>
      <c r="E4301" s="20"/>
      <c r="F4301" s="20"/>
      <c r="G4301" s="20"/>
      <c r="H4301" s="20"/>
      <c r="I4301" s="20"/>
      <c r="J4301" s="19"/>
      <c r="K4301" s="17"/>
      <c r="L4301" s="649"/>
    </row>
    <row r="4302" spans="2:12" ht="15">
      <c r="B4302" s="650"/>
      <c r="C4302" s="20"/>
      <c r="D4302" s="20"/>
      <c r="E4302" s="20"/>
      <c r="F4302" s="20"/>
      <c r="G4302" s="20"/>
      <c r="H4302" s="19"/>
      <c r="I4302" s="20"/>
      <c r="J4302" s="19"/>
      <c r="K4302" s="17"/>
      <c r="L4302" s="649"/>
    </row>
    <row r="4303" spans="2:12" ht="15">
      <c r="B4303" s="650"/>
      <c r="C4303" s="20"/>
      <c r="D4303" s="20"/>
      <c r="E4303" s="20"/>
      <c r="F4303" s="20"/>
      <c r="G4303" s="20"/>
      <c r="H4303" s="19"/>
      <c r="I4303" s="20"/>
      <c r="J4303" s="19"/>
      <c r="K4303" s="17"/>
      <c r="L4303" s="645"/>
    </row>
    <row r="4304" spans="2:12" ht="15.75">
      <c r="B4304" s="981" t="s">
        <v>414</v>
      </c>
      <c r="C4304" s="982"/>
      <c r="D4304" s="982"/>
      <c r="E4304" s="982"/>
      <c r="F4304" s="982"/>
      <c r="G4304" s="982"/>
      <c r="H4304" s="982"/>
      <c r="I4304" s="982"/>
      <c r="J4304" s="982"/>
      <c r="K4304" s="982"/>
      <c r="L4304" s="983"/>
    </row>
    <row r="4305" spans="2:12">
      <c r="B4305" s="651"/>
      <c r="L4305" s="652"/>
    </row>
    <row r="4306" spans="2:12" ht="15.6" customHeight="1">
      <c r="B4306" s="638" t="s">
        <v>398</v>
      </c>
      <c r="C4306" s="8">
        <v>7</v>
      </c>
      <c r="D4306" s="1008" t="s">
        <v>1031</v>
      </c>
      <c r="E4306" s="1009"/>
      <c r="F4306" s="1009"/>
      <c r="G4306" s="1009"/>
      <c r="H4306" s="1009"/>
      <c r="I4306" s="1009"/>
      <c r="J4306" s="1009"/>
      <c r="K4306" s="1009"/>
      <c r="L4306" s="1010"/>
    </row>
    <row r="4307" spans="2:12" ht="15">
      <c r="B4307" s="1005"/>
      <c r="C4307" s="1006"/>
      <c r="D4307" s="1006"/>
      <c r="E4307" s="1006"/>
      <c r="F4307" s="1006"/>
      <c r="G4307" s="1006"/>
      <c r="H4307" s="1006"/>
      <c r="I4307" s="1006"/>
      <c r="J4307" s="1006"/>
      <c r="K4307" s="1006"/>
      <c r="L4307" s="1007"/>
    </row>
    <row r="4308" spans="2:12" ht="15.6" customHeight="1">
      <c r="B4308" s="753" t="s">
        <v>399</v>
      </c>
      <c r="C4308" s="25">
        <f>+'PROPUESTA ECONOMICA(Proponente)'!C451</f>
        <v>7.3</v>
      </c>
      <c r="D4308" s="12" t="str">
        <f>+VLOOKUP('MEMORIAS DE CANTIDADES'!C4308,'PROPUESTA ECONOMICA(Proponente)'!$C$379:$H$661,5,FALSE)</f>
        <v>Impermeabilización de cubierta plana con manto edil 3mm con foil de aluminio (incluye suministro e instalación)</v>
      </c>
      <c r="E4308" s="13"/>
      <c r="F4308" s="12"/>
      <c r="G4308" s="12"/>
      <c r="H4308" s="12"/>
      <c r="I4308" s="11" t="s">
        <v>400</v>
      </c>
      <c r="J4308" s="12" t="str">
        <f>+VLOOKUP('MEMORIAS DE CANTIDADES'!C4308,'PROPUESTA ECONOMICA(Proponente)'!$C$379:$H$661,6,FALSE)</f>
        <v>m2</v>
      </c>
      <c r="K4308" s="11" t="s">
        <v>401</v>
      </c>
      <c r="L4308" s="643">
        <f>SUM(L4309:L4323)</f>
        <v>996.72</v>
      </c>
    </row>
    <row r="4309" spans="2:12" ht="15">
      <c r="B4309" s="644"/>
      <c r="C4309" s="16"/>
      <c r="D4309" s="15"/>
      <c r="E4309" s="15"/>
      <c r="F4309" s="15"/>
      <c r="G4309" s="15"/>
      <c r="H4309" s="15"/>
      <c r="I4309" s="15"/>
      <c r="J4309" s="15"/>
      <c r="K4309" s="17"/>
      <c r="L4309" s="645"/>
    </row>
    <row r="4310" spans="2:12" ht="47.25">
      <c r="B4310" s="646" t="s">
        <v>402</v>
      </c>
      <c r="C4310" s="18" t="s">
        <v>403</v>
      </c>
      <c r="D4310" s="18" t="s">
        <v>404</v>
      </c>
      <c r="E4310" s="18" t="s">
        <v>405</v>
      </c>
      <c r="F4310" s="18" t="s">
        <v>406</v>
      </c>
      <c r="G4310" s="18" t="s">
        <v>407</v>
      </c>
      <c r="H4310" s="5" t="s">
        <v>408</v>
      </c>
      <c r="I4310" s="18" t="s">
        <v>409</v>
      </c>
      <c r="J4310" s="5" t="s">
        <v>410</v>
      </c>
      <c r="K4310" s="5" t="s">
        <v>411</v>
      </c>
      <c r="L4310" s="647" t="s">
        <v>412</v>
      </c>
    </row>
    <row r="4311" spans="2:12" ht="15">
      <c r="B4311" s="648" t="s">
        <v>949</v>
      </c>
      <c r="C4311" s="19"/>
      <c r="D4311" s="19">
        <v>6.4</v>
      </c>
      <c r="E4311" s="19"/>
      <c r="F4311" s="19">
        <v>23.1</v>
      </c>
      <c r="G4311" s="20"/>
      <c r="H4311" s="68"/>
      <c r="I4311" s="17"/>
      <c r="J4311" s="28"/>
      <c r="K4311" s="17"/>
      <c r="L4311" s="649">
        <f>PRODUCT(C4311:K4311)</f>
        <v>147.84</v>
      </c>
    </row>
    <row r="4312" spans="2:12" ht="15">
      <c r="B4312" s="648" t="s">
        <v>950</v>
      </c>
      <c r="C4312" s="19"/>
      <c r="D4312" s="19">
        <v>4.5999999999999996</v>
      </c>
      <c r="E4312" s="19"/>
      <c r="F4312" s="19">
        <v>6.6</v>
      </c>
      <c r="G4312" s="20"/>
      <c r="H4312" s="68"/>
      <c r="I4312" s="17"/>
      <c r="J4312" s="28"/>
      <c r="K4312" s="17"/>
      <c r="L4312" s="649">
        <f>PRODUCT(C4312:K4312)</f>
        <v>30.359999999999996</v>
      </c>
    </row>
    <row r="4313" spans="2:12" ht="15">
      <c r="B4313" s="648" t="s">
        <v>951</v>
      </c>
      <c r="C4313" s="20"/>
      <c r="D4313" s="19">
        <v>5.8</v>
      </c>
      <c r="E4313" s="19"/>
      <c r="F4313" s="19">
        <v>11.1</v>
      </c>
      <c r="G4313" s="20"/>
      <c r="H4313" s="68"/>
      <c r="I4313" s="17">
        <v>2</v>
      </c>
      <c r="J4313" s="19"/>
      <c r="K4313" s="17"/>
      <c r="L4313" s="649">
        <f t="shared" ref="L4313:L4319" si="309">PRODUCT(C4313:K4313)</f>
        <v>128.76</v>
      </c>
    </row>
    <row r="4314" spans="2:12" ht="15">
      <c r="B4314" s="648" t="s">
        <v>952</v>
      </c>
      <c r="C4314" s="20"/>
      <c r="D4314" s="19">
        <v>5.8</v>
      </c>
      <c r="E4314" s="19"/>
      <c r="F4314" s="19">
        <v>3.6</v>
      </c>
      <c r="G4314" s="20"/>
      <c r="H4314" s="68"/>
      <c r="I4314" s="17">
        <v>2</v>
      </c>
      <c r="J4314" s="19"/>
      <c r="K4314" s="17"/>
      <c r="L4314" s="649">
        <f t="shared" si="309"/>
        <v>41.76</v>
      </c>
    </row>
    <row r="4315" spans="2:12" ht="15">
      <c r="B4315" s="650" t="s">
        <v>536</v>
      </c>
      <c r="C4315" s="20"/>
      <c r="D4315" s="20">
        <v>4</v>
      </c>
      <c r="E4315" s="20"/>
      <c r="F4315" s="20">
        <v>5.5</v>
      </c>
      <c r="G4315" s="20"/>
      <c r="H4315" s="20"/>
      <c r="I4315" s="20"/>
      <c r="J4315" s="19"/>
      <c r="K4315" s="17"/>
      <c r="L4315" s="649">
        <f t="shared" si="309"/>
        <v>22</v>
      </c>
    </row>
    <row r="4316" spans="2:12" ht="15">
      <c r="B4316" s="650" t="s">
        <v>537</v>
      </c>
      <c r="C4316" s="20"/>
      <c r="D4316" s="20">
        <v>4</v>
      </c>
      <c r="E4316" s="20"/>
      <c r="F4316" s="20">
        <v>5.5</v>
      </c>
      <c r="G4316" s="20"/>
      <c r="H4316" s="19"/>
      <c r="I4316" s="20"/>
      <c r="J4316" s="19"/>
      <c r="K4316" s="17"/>
      <c r="L4316" s="649">
        <f t="shared" si="309"/>
        <v>22</v>
      </c>
    </row>
    <row r="4317" spans="2:12" ht="15">
      <c r="B4317" s="650" t="s">
        <v>528</v>
      </c>
      <c r="C4317" s="20"/>
      <c r="D4317" s="20">
        <v>4</v>
      </c>
      <c r="E4317" s="20"/>
      <c r="F4317" s="20">
        <v>5.5</v>
      </c>
      <c r="G4317" s="20"/>
      <c r="H4317" s="19"/>
      <c r="I4317" s="20">
        <v>2</v>
      </c>
      <c r="J4317" s="19"/>
      <c r="K4317" s="17"/>
      <c r="L4317" s="649">
        <f t="shared" si="309"/>
        <v>44</v>
      </c>
    </row>
    <row r="4318" spans="2:12" ht="15">
      <c r="B4318" s="650" t="s">
        <v>1039</v>
      </c>
      <c r="C4318" s="20">
        <v>280</v>
      </c>
      <c r="D4318" s="20"/>
      <c r="E4318" s="20"/>
      <c r="F4318" s="20"/>
      <c r="G4318" s="20"/>
      <c r="H4318" s="19"/>
      <c r="I4318" s="20">
        <v>1</v>
      </c>
      <c r="J4318" s="19"/>
      <c r="K4318" s="17"/>
      <c r="L4318" s="649">
        <f t="shared" si="309"/>
        <v>280</v>
      </c>
    </row>
    <row r="4319" spans="2:12" ht="15">
      <c r="B4319" s="650" t="s">
        <v>919</v>
      </c>
      <c r="C4319" s="20">
        <v>280</v>
      </c>
      <c r="D4319" s="20"/>
      <c r="E4319" s="20"/>
      <c r="F4319" s="20"/>
      <c r="G4319" s="20"/>
      <c r="H4319" s="19"/>
      <c r="I4319" s="20">
        <v>1</v>
      </c>
      <c r="J4319" s="19"/>
      <c r="K4319" s="17"/>
      <c r="L4319" s="649">
        <f t="shared" si="309"/>
        <v>280</v>
      </c>
    </row>
    <row r="4320" spans="2:12" ht="15">
      <c r="B4320" s="650"/>
      <c r="C4320" s="20"/>
      <c r="D4320" s="20"/>
      <c r="E4320" s="20"/>
      <c r="F4320" s="20"/>
      <c r="G4320" s="20"/>
      <c r="H4320" s="19"/>
      <c r="I4320" s="20"/>
      <c r="J4320" s="19"/>
      <c r="K4320" s="17"/>
      <c r="L4320" s="649"/>
    </row>
    <row r="4321" spans="2:12" ht="15">
      <c r="B4321" s="650"/>
      <c r="C4321" s="20"/>
      <c r="D4321" s="20"/>
      <c r="E4321" s="20"/>
      <c r="F4321" s="20"/>
      <c r="G4321" s="20"/>
      <c r="H4321" s="19"/>
      <c r="I4321" s="20"/>
      <c r="J4321" s="19"/>
      <c r="K4321" s="17"/>
      <c r="L4321" s="649"/>
    </row>
    <row r="4322" spans="2:12" ht="15">
      <c r="B4322" s="650"/>
      <c r="C4322" s="20"/>
      <c r="D4322" s="20"/>
      <c r="E4322" s="20"/>
      <c r="F4322" s="20"/>
      <c r="G4322" s="20"/>
      <c r="H4322" s="19"/>
      <c r="I4322" s="20"/>
      <c r="J4322" s="19"/>
      <c r="K4322" s="17"/>
      <c r="L4322" s="649"/>
    </row>
    <row r="4323" spans="2:12" ht="15.75">
      <c r="B4323" s="981" t="s">
        <v>414</v>
      </c>
      <c r="C4323" s="982"/>
      <c r="D4323" s="982"/>
      <c r="E4323" s="982"/>
      <c r="F4323" s="982"/>
      <c r="G4323" s="982"/>
      <c r="H4323" s="982"/>
      <c r="I4323" s="982"/>
      <c r="J4323" s="982"/>
      <c r="K4323" s="982"/>
      <c r="L4323" s="983"/>
    </row>
    <row r="4324" spans="2:12">
      <c r="B4324" s="651"/>
      <c r="L4324" s="652"/>
    </row>
    <row r="4325" spans="2:12" ht="15.6" customHeight="1">
      <c r="B4325" s="638" t="s">
        <v>398</v>
      </c>
      <c r="C4325" s="8">
        <v>9</v>
      </c>
      <c r="D4325" s="1008" t="s">
        <v>1032</v>
      </c>
      <c r="E4325" s="1009"/>
      <c r="F4325" s="1009"/>
      <c r="G4325" s="1009"/>
      <c r="H4325" s="1009"/>
      <c r="I4325" s="1009"/>
      <c r="J4325" s="1009"/>
      <c r="K4325" s="1009"/>
      <c r="L4325" s="1010"/>
    </row>
    <row r="4326" spans="2:12" ht="15">
      <c r="B4326" s="640"/>
      <c r="C4326" s="579"/>
      <c r="D4326" s="579"/>
      <c r="E4326" s="579"/>
      <c r="F4326" s="579"/>
      <c r="G4326" s="579"/>
      <c r="H4326" s="579"/>
      <c r="I4326" s="579"/>
      <c r="J4326" s="579"/>
      <c r="K4326" s="579"/>
      <c r="L4326" s="641"/>
    </row>
    <row r="4327" spans="2:12" ht="31.5">
      <c r="B4327" s="642" t="s">
        <v>399</v>
      </c>
      <c r="C4327" s="25">
        <f>+'PROPUESTA ECONOMICA(Proponente)'!C527</f>
        <v>9.1</v>
      </c>
      <c r="D4327" s="12" t="str">
        <f>+VLOOKUP('MEMORIAS DE CANTIDADES'!C4327,'PROPUESTA ECONOMICA(Proponente)'!$C$379:$H$661,5,FALSE)</f>
        <v>EXCAVACIONES : (Excavación manual incluye cargue, transporte y disposición final).</v>
      </c>
      <c r="E4327" s="13"/>
      <c r="F4327" s="12"/>
      <c r="G4327" s="12"/>
      <c r="H4327" s="12"/>
      <c r="I4327" s="11" t="s">
        <v>400</v>
      </c>
      <c r="J4327" s="12" t="str">
        <f>+VLOOKUP('MEMORIAS DE CANTIDADES'!C4327,'PROPUESTA ECONOMICA(Proponente)'!$C$379:$H$661,6,FALSE)</f>
        <v>m3</v>
      </c>
      <c r="K4327" s="11" t="s">
        <v>401</v>
      </c>
      <c r="L4327" s="643">
        <f>SUM(L4328:L4343)</f>
        <v>250.89</v>
      </c>
    </row>
    <row r="4328" spans="2:12" ht="15">
      <c r="B4328" s="644"/>
      <c r="C4328" s="16"/>
      <c r="D4328" s="15"/>
      <c r="E4328" s="15"/>
      <c r="F4328" s="15"/>
      <c r="G4328" s="15"/>
      <c r="H4328" s="15"/>
      <c r="I4328" s="15"/>
      <c r="J4328" s="15"/>
      <c r="K4328" s="17"/>
      <c r="L4328" s="645"/>
    </row>
    <row r="4329" spans="2:12" ht="47.25">
      <c r="B4329" s="646" t="s">
        <v>402</v>
      </c>
      <c r="C4329" s="18" t="s">
        <v>403</v>
      </c>
      <c r="D4329" s="18" t="s">
        <v>404</v>
      </c>
      <c r="E4329" s="18" t="s">
        <v>405</v>
      </c>
      <c r="F4329" s="18" t="s">
        <v>406</v>
      </c>
      <c r="G4329" s="18" t="s">
        <v>407</v>
      </c>
      <c r="H4329" s="5" t="s">
        <v>408</v>
      </c>
      <c r="I4329" s="18" t="s">
        <v>409</v>
      </c>
      <c r="J4329" s="5" t="s">
        <v>410</v>
      </c>
      <c r="K4329" s="5" t="s">
        <v>411</v>
      </c>
      <c r="L4329" s="647" t="s">
        <v>412</v>
      </c>
    </row>
    <row r="4330" spans="2:12" ht="15">
      <c r="B4330" s="648" t="s">
        <v>549</v>
      </c>
      <c r="C4330" s="19"/>
      <c r="D4330" s="19"/>
      <c r="E4330" s="19"/>
      <c r="F4330" s="19"/>
      <c r="G4330" s="20"/>
      <c r="H4330" s="68"/>
      <c r="I4330" s="17"/>
      <c r="J4330" s="28"/>
      <c r="K4330" s="17"/>
      <c r="L4330" s="649"/>
    </row>
    <row r="4331" spans="2:12" ht="15">
      <c r="B4331" s="737" t="s">
        <v>588</v>
      </c>
      <c r="C4331" s="20">
        <v>50</v>
      </c>
      <c r="D4331" s="19"/>
      <c r="E4331" s="19">
        <v>0.3</v>
      </c>
      <c r="F4331" s="19"/>
      <c r="G4331" s="20"/>
      <c r="H4331" s="68"/>
      <c r="I4331" s="17"/>
      <c r="J4331" s="69">
        <v>2</v>
      </c>
      <c r="K4331" s="17">
        <v>1.1000000000000001</v>
      </c>
      <c r="L4331" s="649">
        <f t="shared" ref="L4331:L4336" si="310">PRODUCT(C4331:K4331)</f>
        <v>33</v>
      </c>
    </row>
    <row r="4332" spans="2:12" ht="15">
      <c r="B4332" s="650" t="s">
        <v>589</v>
      </c>
      <c r="C4332" s="20">
        <v>50</v>
      </c>
      <c r="D4332" s="20"/>
      <c r="E4332" s="19">
        <v>0.3</v>
      </c>
      <c r="F4332" s="20"/>
      <c r="G4332" s="20"/>
      <c r="H4332" s="20"/>
      <c r="I4332" s="20"/>
      <c r="J4332" s="69">
        <v>2</v>
      </c>
      <c r="K4332" s="17">
        <v>1.1000000000000001</v>
      </c>
      <c r="L4332" s="649">
        <f t="shared" si="310"/>
        <v>33</v>
      </c>
    </row>
    <row r="4333" spans="2:12" ht="15.75">
      <c r="B4333" s="759" t="s">
        <v>852</v>
      </c>
      <c r="C4333" s="176"/>
      <c r="D4333" s="176"/>
      <c r="E4333" s="175"/>
      <c r="F4333" s="176"/>
      <c r="G4333" s="176"/>
      <c r="H4333" s="843"/>
      <c r="I4333" s="176"/>
      <c r="J4333" s="175"/>
      <c r="K4333" s="17">
        <v>1.1000000000000001</v>
      </c>
      <c r="L4333" s="649"/>
    </row>
    <row r="4334" spans="2:12" ht="15">
      <c r="B4334" s="751" t="s">
        <v>853</v>
      </c>
      <c r="C4334" s="20">
        <v>32</v>
      </c>
      <c r="D4334" s="20"/>
      <c r="E4334" s="19">
        <v>0.3</v>
      </c>
      <c r="F4334" s="20"/>
      <c r="G4334" s="20"/>
      <c r="H4334" s="844"/>
      <c r="I4334" s="20"/>
      <c r="J4334" s="19">
        <v>2</v>
      </c>
      <c r="K4334" s="17">
        <v>1.1000000000000001</v>
      </c>
      <c r="L4334" s="649">
        <f t="shared" si="310"/>
        <v>21.12</v>
      </c>
    </row>
    <row r="4335" spans="2:12" ht="15">
      <c r="B4335" s="751" t="s">
        <v>823</v>
      </c>
      <c r="C4335" s="20">
        <v>45</v>
      </c>
      <c r="D4335" s="20"/>
      <c r="E4335" s="19">
        <v>0.3</v>
      </c>
      <c r="F4335" s="20"/>
      <c r="G4335" s="20"/>
      <c r="H4335" s="844"/>
      <c r="I4335" s="20"/>
      <c r="J4335" s="19">
        <v>2</v>
      </c>
      <c r="K4335" s="17">
        <v>1.1000000000000001</v>
      </c>
      <c r="L4335" s="649">
        <f t="shared" si="310"/>
        <v>29.700000000000003</v>
      </c>
    </row>
    <row r="4336" spans="2:12" ht="15">
      <c r="B4336" s="751" t="s">
        <v>854</v>
      </c>
      <c r="C4336" s="20">
        <v>45</v>
      </c>
      <c r="D4336" s="20"/>
      <c r="E4336" s="19">
        <v>0.3</v>
      </c>
      <c r="F4336" s="20"/>
      <c r="G4336" s="20"/>
      <c r="H4336" s="844"/>
      <c r="I4336" s="20"/>
      <c r="J4336" s="19">
        <v>2</v>
      </c>
      <c r="K4336" s="17">
        <v>1.1000000000000001</v>
      </c>
      <c r="L4336" s="649">
        <f t="shared" si="310"/>
        <v>29.700000000000003</v>
      </c>
    </row>
    <row r="4337" spans="2:12" ht="15">
      <c r="B4337" s="648" t="s">
        <v>438</v>
      </c>
      <c r="C4337" s="20">
        <v>143</v>
      </c>
      <c r="D4337" s="20"/>
      <c r="E4337" s="19">
        <v>0.3</v>
      </c>
      <c r="F4337" s="20"/>
      <c r="G4337" s="20"/>
      <c r="H4337" s="19"/>
      <c r="I4337" s="20"/>
      <c r="J4337" s="19"/>
      <c r="K4337" s="17">
        <v>1.1000000000000001</v>
      </c>
      <c r="L4337" s="649">
        <f t="shared" ref="L4337:L4338" si="311">PRODUCT(C4337:K4337)</f>
        <v>47.190000000000005</v>
      </c>
    </row>
    <row r="4338" spans="2:12" ht="15">
      <c r="B4338" s="648" t="s">
        <v>464</v>
      </c>
      <c r="C4338" s="20">
        <v>58</v>
      </c>
      <c r="D4338" s="20"/>
      <c r="E4338" s="19">
        <v>0.3</v>
      </c>
      <c r="F4338" s="20"/>
      <c r="G4338" s="20"/>
      <c r="H4338" s="19"/>
      <c r="I4338" s="20">
        <v>2</v>
      </c>
      <c r="J4338" s="19"/>
      <c r="K4338" s="17">
        <v>1.1000000000000001</v>
      </c>
      <c r="L4338" s="649">
        <f t="shared" si="311"/>
        <v>38.28</v>
      </c>
    </row>
    <row r="4339" spans="2:12" ht="15">
      <c r="B4339" s="648"/>
      <c r="C4339" s="20"/>
      <c r="D4339" s="20"/>
      <c r="E4339" s="19"/>
      <c r="F4339" s="20"/>
      <c r="G4339" s="20"/>
      <c r="H4339" s="19"/>
      <c r="I4339" s="20"/>
      <c r="J4339" s="19"/>
      <c r="K4339" s="17"/>
      <c r="L4339" s="649"/>
    </row>
    <row r="4340" spans="2:12" ht="15">
      <c r="B4340" s="650" t="s">
        <v>536</v>
      </c>
      <c r="C4340" s="20"/>
      <c r="D4340" s="20">
        <v>3.5</v>
      </c>
      <c r="E4340" s="20">
        <v>0.3</v>
      </c>
      <c r="F4340" s="20">
        <v>4.5</v>
      </c>
      <c r="G4340" s="20"/>
      <c r="H4340" s="20"/>
      <c r="I4340" s="20"/>
      <c r="J4340" s="19"/>
      <c r="K4340" s="17"/>
      <c r="L4340" s="649">
        <f t="shared" ref="L4340:L4342" si="312">PRODUCT(C4340:K4340)</f>
        <v>4.7250000000000005</v>
      </c>
    </row>
    <row r="4341" spans="2:12" ht="15">
      <c r="B4341" s="650" t="s">
        <v>537</v>
      </c>
      <c r="C4341" s="20"/>
      <c r="D4341" s="20">
        <v>3.5</v>
      </c>
      <c r="E4341" s="20">
        <v>0.3</v>
      </c>
      <c r="F4341" s="20">
        <v>4.5</v>
      </c>
      <c r="G4341" s="20"/>
      <c r="H4341" s="19"/>
      <c r="I4341" s="20"/>
      <c r="J4341" s="19"/>
      <c r="K4341" s="17"/>
      <c r="L4341" s="649">
        <f t="shared" si="312"/>
        <v>4.7250000000000005</v>
      </c>
    </row>
    <row r="4342" spans="2:12" ht="15">
      <c r="B4342" s="650" t="s">
        <v>528</v>
      </c>
      <c r="C4342" s="20"/>
      <c r="D4342" s="20">
        <v>3.5</v>
      </c>
      <c r="E4342" s="20">
        <v>0.3</v>
      </c>
      <c r="F4342" s="20">
        <v>4.5</v>
      </c>
      <c r="G4342" s="20"/>
      <c r="H4342" s="19"/>
      <c r="I4342" s="20">
        <v>2</v>
      </c>
      <c r="J4342" s="19"/>
      <c r="K4342" s="17"/>
      <c r="L4342" s="649">
        <f t="shared" si="312"/>
        <v>9.4500000000000011</v>
      </c>
    </row>
    <row r="4343" spans="2:12" ht="15.75">
      <c r="B4343" s="981"/>
      <c r="C4343" s="982"/>
      <c r="D4343" s="982"/>
      <c r="E4343" s="982"/>
      <c r="F4343" s="982"/>
      <c r="G4343" s="982"/>
      <c r="H4343" s="982"/>
      <c r="I4343" s="982"/>
      <c r="J4343" s="982"/>
      <c r="K4343" s="982"/>
      <c r="L4343" s="983"/>
    </row>
    <row r="4344" spans="2:12">
      <c r="B4344" s="651"/>
      <c r="L4344" s="652"/>
    </row>
    <row r="4345" spans="2:12" ht="15.6" customHeight="1">
      <c r="B4345" s="638" t="s">
        <v>398</v>
      </c>
      <c r="C4345" s="8">
        <v>9</v>
      </c>
      <c r="D4345" s="1008" t="s">
        <v>1032</v>
      </c>
      <c r="E4345" s="1009"/>
      <c r="F4345" s="1009"/>
      <c r="G4345" s="1009"/>
      <c r="H4345" s="1009"/>
      <c r="I4345" s="1009"/>
      <c r="J4345" s="1009"/>
      <c r="K4345" s="1009"/>
      <c r="L4345" s="1010"/>
    </row>
    <row r="4346" spans="2:12" ht="15">
      <c r="B4346" s="640"/>
      <c r="C4346" s="579"/>
      <c r="D4346" s="579"/>
      <c r="E4346" s="579"/>
      <c r="F4346" s="579"/>
      <c r="G4346" s="579"/>
      <c r="H4346" s="579"/>
      <c r="I4346" s="579"/>
      <c r="J4346" s="579"/>
      <c r="K4346" s="579"/>
      <c r="L4346" s="641"/>
    </row>
    <row r="4347" spans="2:12" ht="45.75" customHeight="1">
      <c r="B4347" s="642" t="s">
        <v>399</v>
      </c>
      <c r="C4347" s="25">
        <f>+'PROPUESTA ECONOMICA(Proponente)'!C528</f>
        <v>9.1999999999999993</v>
      </c>
      <c r="D4347" s="12" t="str">
        <f>+VLOOKUP('MEMORIAS DE CANTIDADES'!C4347,'PROPUESTA ECONOMICA(Proponente)'!$C$379:$H$661,5,FALSE)</f>
        <v>RELLENO SELECCIONADO: Relleno compactado con material seleccionado, zahorra al 95% del Proctor estándar en cimentación. (suministro, humedecimiento y compactación).</v>
      </c>
      <c r="E4347" s="13"/>
      <c r="F4347" s="12"/>
      <c r="G4347" s="12"/>
      <c r="H4347" s="12"/>
      <c r="I4347" s="11" t="s">
        <v>400</v>
      </c>
      <c r="J4347" s="12" t="str">
        <f>+VLOOKUP('MEMORIAS DE CANTIDADES'!C4347,'PROPUESTA ECONOMICA(Proponente)'!$C$379:$H$661,6,FALSE)</f>
        <v>m3</v>
      </c>
      <c r="K4347" s="11" t="s">
        <v>401</v>
      </c>
      <c r="L4347" s="643">
        <f>SUM(L4348:L4364)</f>
        <v>459.59999999999991</v>
      </c>
    </row>
    <row r="4348" spans="2:12" ht="15">
      <c r="B4348" s="644"/>
      <c r="C4348" s="16"/>
      <c r="D4348" s="15"/>
      <c r="E4348" s="15"/>
      <c r="F4348" s="15"/>
      <c r="G4348" s="15"/>
      <c r="H4348" s="15"/>
      <c r="I4348" s="15"/>
      <c r="J4348" s="15"/>
      <c r="K4348" s="17"/>
      <c r="L4348" s="645"/>
    </row>
    <row r="4349" spans="2:12" ht="47.25">
      <c r="B4349" s="646" t="s">
        <v>402</v>
      </c>
      <c r="C4349" s="18" t="s">
        <v>403</v>
      </c>
      <c r="D4349" s="18" t="s">
        <v>404</v>
      </c>
      <c r="E4349" s="18" t="s">
        <v>405</v>
      </c>
      <c r="F4349" s="18" t="s">
        <v>406</v>
      </c>
      <c r="G4349" s="18" t="s">
        <v>407</v>
      </c>
      <c r="H4349" s="5" t="s">
        <v>408</v>
      </c>
      <c r="I4349" s="18" t="s">
        <v>409</v>
      </c>
      <c r="J4349" s="5" t="s">
        <v>410</v>
      </c>
      <c r="K4349" s="5" t="s">
        <v>411</v>
      </c>
      <c r="L4349" s="647" t="s">
        <v>412</v>
      </c>
    </row>
    <row r="4350" spans="2:12" ht="15">
      <c r="B4350" s="648" t="s">
        <v>549</v>
      </c>
      <c r="C4350" s="19"/>
      <c r="D4350" s="19"/>
      <c r="E4350" s="19"/>
      <c r="F4350" s="19"/>
      <c r="G4350" s="20"/>
      <c r="H4350" s="68"/>
      <c r="I4350" s="17"/>
      <c r="J4350" s="28"/>
      <c r="K4350" s="17"/>
      <c r="L4350" s="649"/>
    </row>
    <row r="4351" spans="2:12" ht="15">
      <c r="B4351" s="737" t="s">
        <v>588</v>
      </c>
      <c r="C4351" s="20">
        <v>50</v>
      </c>
      <c r="D4351" s="19"/>
      <c r="E4351" s="19">
        <v>0.6</v>
      </c>
      <c r="F4351" s="19"/>
      <c r="G4351" s="20"/>
      <c r="H4351" s="68"/>
      <c r="I4351" s="17"/>
      <c r="J4351" s="69">
        <v>2</v>
      </c>
      <c r="K4351" s="17"/>
      <c r="L4351" s="649">
        <f t="shared" ref="L4351:L4352" si="313">PRODUCT(C4351:K4351)</f>
        <v>60</v>
      </c>
    </row>
    <row r="4352" spans="2:12" ht="15">
      <c r="B4352" s="650" t="s">
        <v>589</v>
      </c>
      <c r="C4352" s="20">
        <v>50</v>
      </c>
      <c r="D4352" s="20"/>
      <c r="E4352" s="19">
        <v>0.6</v>
      </c>
      <c r="F4352" s="20"/>
      <c r="G4352" s="20"/>
      <c r="H4352" s="20"/>
      <c r="I4352" s="20"/>
      <c r="J4352" s="69">
        <v>2</v>
      </c>
      <c r="K4352" s="17"/>
      <c r="L4352" s="649">
        <f t="shared" si="313"/>
        <v>60</v>
      </c>
    </row>
    <row r="4353" spans="2:12" ht="15.75">
      <c r="B4353" s="759" t="s">
        <v>852</v>
      </c>
      <c r="C4353" s="176"/>
      <c r="D4353" s="176"/>
      <c r="E4353" s="175"/>
      <c r="F4353" s="176"/>
      <c r="G4353" s="176"/>
      <c r="H4353" s="843"/>
      <c r="I4353" s="176"/>
      <c r="J4353" s="175"/>
      <c r="K4353" s="167"/>
      <c r="L4353" s="649"/>
    </row>
    <row r="4354" spans="2:12" ht="15">
      <c r="B4354" s="751" t="s">
        <v>853</v>
      </c>
      <c r="C4354" s="20">
        <v>32</v>
      </c>
      <c r="D4354" s="20"/>
      <c r="E4354" s="19">
        <v>0.6</v>
      </c>
      <c r="F4354" s="20"/>
      <c r="G4354" s="20"/>
      <c r="H4354" s="844"/>
      <c r="I4354" s="20"/>
      <c r="J4354" s="19">
        <v>2</v>
      </c>
      <c r="K4354" s="17"/>
      <c r="L4354" s="649">
        <f t="shared" ref="L4354:L4356" si="314">PRODUCT(C4354:K4354)</f>
        <v>38.4</v>
      </c>
    </row>
    <row r="4355" spans="2:12" ht="15">
      <c r="B4355" s="751" t="s">
        <v>823</v>
      </c>
      <c r="C4355" s="20">
        <v>45</v>
      </c>
      <c r="D4355" s="20"/>
      <c r="E4355" s="19">
        <v>0.6</v>
      </c>
      <c r="F4355" s="20"/>
      <c r="G4355" s="20"/>
      <c r="H4355" s="844"/>
      <c r="I4355" s="20"/>
      <c r="J4355" s="19">
        <v>2</v>
      </c>
      <c r="K4355" s="17"/>
      <c r="L4355" s="649">
        <f t="shared" si="314"/>
        <v>54</v>
      </c>
    </row>
    <row r="4356" spans="2:12" ht="15">
      <c r="B4356" s="751" t="s">
        <v>854</v>
      </c>
      <c r="C4356" s="20">
        <v>45</v>
      </c>
      <c r="D4356" s="20"/>
      <c r="E4356" s="19">
        <v>0.6</v>
      </c>
      <c r="F4356" s="20"/>
      <c r="G4356" s="20"/>
      <c r="H4356" s="844"/>
      <c r="I4356" s="20"/>
      <c r="J4356" s="19">
        <v>2</v>
      </c>
      <c r="K4356" s="17"/>
      <c r="L4356" s="649">
        <f t="shared" si="314"/>
        <v>54</v>
      </c>
    </row>
    <row r="4357" spans="2:12" ht="15">
      <c r="B4357" s="648" t="s">
        <v>438</v>
      </c>
      <c r="C4357" s="20">
        <v>143</v>
      </c>
      <c r="D4357" s="20"/>
      <c r="E4357" s="19">
        <v>0.6</v>
      </c>
      <c r="F4357" s="20"/>
      <c r="G4357" s="20"/>
      <c r="H4357" s="19"/>
      <c r="I4357" s="20"/>
      <c r="J4357" s="19"/>
      <c r="K4357" s="17"/>
      <c r="L4357" s="649">
        <f t="shared" ref="L4357:L4358" si="315">PRODUCT(C4357:K4357)</f>
        <v>85.8</v>
      </c>
    </row>
    <row r="4358" spans="2:12" ht="15">
      <c r="B4358" s="648" t="s">
        <v>464</v>
      </c>
      <c r="C4358" s="20">
        <v>58</v>
      </c>
      <c r="D4358" s="20"/>
      <c r="E4358" s="19">
        <v>0.6</v>
      </c>
      <c r="F4358" s="20"/>
      <c r="G4358" s="20"/>
      <c r="H4358" s="19"/>
      <c r="I4358" s="20">
        <v>2</v>
      </c>
      <c r="J4358" s="19"/>
      <c r="K4358" s="17"/>
      <c r="L4358" s="649">
        <f t="shared" si="315"/>
        <v>69.599999999999994</v>
      </c>
    </row>
    <row r="4359" spans="2:12" ht="15">
      <c r="B4359" s="648"/>
      <c r="C4359" s="20"/>
      <c r="D4359" s="20"/>
      <c r="E4359" s="19"/>
      <c r="F4359" s="20"/>
      <c r="G4359" s="20"/>
      <c r="H4359" s="19"/>
      <c r="I4359" s="20"/>
      <c r="J4359" s="19"/>
      <c r="K4359" s="17"/>
      <c r="L4359" s="649"/>
    </row>
    <row r="4360" spans="2:12" ht="15">
      <c r="B4360" s="650" t="s">
        <v>536</v>
      </c>
      <c r="C4360" s="20"/>
      <c r="D4360" s="20">
        <v>3.5</v>
      </c>
      <c r="E4360" s="20">
        <v>0.6</v>
      </c>
      <c r="F4360" s="20">
        <v>4.5</v>
      </c>
      <c r="G4360" s="20"/>
      <c r="H4360" s="20"/>
      <c r="I4360" s="20"/>
      <c r="J4360" s="19"/>
      <c r="K4360" s="17"/>
      <c r="L4360" s="649">
        <f t="shared" ref="L4360:L4362" si="316">PRODUCT(C4360:K4360)</f>
        <v>9.4500000000000011</v>
      </c>
    </row>
    <row r="4361" spans="2:12" ht="15">
      <c r="B4361" s="650" t="s">
        <v>537</v>
      </c>
      <c r="C4361" s="20"/>
      <c r="D4361" s="20">
        <v>3.5</v>
      </c>
      <c r="E4361" s="20">
        <v>0.6</v>
      </c>
      <c r="F4361" s="20">
        <v>4.5</v>
      </c>
      <c r="G4361" s="20"/>
      <c r="H4361" s="19"/>
      <c r="I4361" s="20"/>
      <c r="J4361" s="19"/>
      <c r="K4361" s="17"/>
      <c r="L4361" s="649">
        <f t="shared" si="316"/>
        <v>9.4500000000000011</v>
      </c>
    </row>
    <row r="4362" spans="2:12" ht="15">
      <c r="B4362" s="650" t="s">
        <v>528</v>
      </c>
      <c r="C4362" s="20"/>
      <c r="D4362" s="20">
        <v>3.5</v>
      </c>
      <c r="E4362" s="20">
        <v>0.6</v>
      </c>
      <c r="F4362" s="20">
        <v>4.5</v>
      </c>
      <c r="G4362" s="20"/>
      <c r="H4362" s="19"/>
      <c r="I4362" s="20">
        <v>2</v>
      </c>
      <c r="J4362" s="19"/>
      <c r="K4362" s="17"/>
      <c r="L4362" s="649">
        <f t="shared" si="316"/>
        <v>18.900000000000002</v>
      </c>
    </row>
    <row r="4363" spans="2:12" ht="15">
      <c r="B4363" s="650"/>
      <c r="C4363" s="20"/>
      <c r="D4363" s="20"/>
      <c r="E4363" s="20"/>
      <c r="F4363" s="20"/>
      <c r="G4363" s="20"/>
      <c r="H4363" s="19"/>
      <c r="I4363" s="20"/>
      <c r="J4363" s="19"/>
      <c r="K4363" s="17"/>
      <c r="L4363" s="649"/>
    </row>
    <row r="4364" spans="2:12" ht="15.75">
      <c r="B4364" s="981"/>
      <c r="C4364" s="982"/>
      <c r="D4364" s="982"/>
      <c r="E4364" s="982"/>
      <c r="F4364" s="982"/>
      <c r="G4364" s="982"/>
      <c r="H4364" s="982"/>
      <c r="I4364" s="982"/>
      <c r="J4364" s="982"/>
      <c r="K4364" s="982"/>
      <c r="L4364" s="983"/>
    </row>
    <row r="4365" spans="2:12">
      <c r="B4365" s="651"/>
      <c r="L4365" s="652"/>
    </row>
    <row r="4366" spans="2:12" ht="61.5" customHeight="1">
      <c r="B4366" s="638" t="s">
        <v>398</v>
      </c>
      <c r="C4366" s="8">
        <v>9</v>
      </c>
      <c r="D4366" s="1008" t="s">
        <v>1032</v>
      </c>
      <c r="E4366" s="1009"/>
      <c r="F4366" s="1009"/>
      <c r="G4366" s="1009"/>
      <c r="H4366" s="1009"/>
      <c r="I4366" s="1009"/>
      <c r="J4366" s="1009"/>
      <c r="K4366" s="1014"/>
      <c r="L4366" s="750"/>
    </row>
    <row r="4367" spans="2:12" ht="15">
      <c r="B4367" s="1005"/>
      <c r="C4367" s="1006"/>
      <c r="D4367" s="1006"/>
      <c r="E4367" s="1006"/>
      <c r="F4367" s="1006"/>
      <c r="G4367" s="1006"/>
      <c r="H4367" s="1006"/>
      <c r="I4367" s="1006"/>
      <c r="J4367" s="1006"/>
      <c r="K4367" s="1006"/>
      <c r="L4367" s="1007"/>
    </row>
    <row r="4368" spans="2:12" ht="45.75" customHeight="1">
      <c r="B4368" s="642" t="s">
        <v>399</v>
      </c>
      <c r="C4368" s="25">
        <f>+'PROPUESTA ECONOMICA(Proponente)'!C529</f>
        <v>9.3000000000000007</v>
      </c>
      <c r="D4368" s="12" t="str">
        <f>+VLOOKUP('MEMORIAS DE CANTIDADES'!C4368,'PROPUESTA ECONOMICA(Proponente)'!$C$379:$H$661,5,FALSE)</f>
        <v>Plantilla para piso e: 0,1 m (incluye malla electrosoldada, suministro, instalación de concreto 3000PSI y formaleta).</v>
      </c>
      <c r="E4368" s="13"/>
      <c r="F4368" s="12"/>
      <c r="G4368" s="12"/>
      <c r="H4368" s="12"/>
      <c r="I4368" s="11" t="s">
        <v>400</v>
      </c>
      <c r="J4368" s="12" t="str">
        <f>+VLOOKUP('MEMORIAS DE CANTIDADES'!C4368,'PROPUESTA ECONOMICA(Proponente)'!$C$379:$H$661,6,FALSE)</f>
        <v>m2</v>
      </c>
      <c r="K4368" s="11" t="s">
        <v>401</v>
      </c>
      <c r="L4368" s="643">
        <f>SUM(L4369:L4394)</f>
        <v>1737.5200000000002</v>
      </c>
    </row>
    <row r="4369" spans="2:12" ht="15">
      <c r="B4369" s="644"/>
      <c r="C4369" s="16"/>
      <c r="D4369" s="15"/>
      <c r="E4369" s="15"/>
      <c r="F4369" s="15"/>
      <c r="G4369" s="15"/>
      <c r="H4369" s="15"/>
      <c r="I4369" s="15"/>
      <c r="J4369" s="15"/>
      <c r="K4369" s="17"/>
      <c r="L4369" s="645"/>
    </row>
    <row r="4370" spans="2:12" ht="47.25">
      <c r="B4370" s="646" t="s">
        <v>402</v>
      </c>
      <c r="C4370" s="18" t="s">
        <v>403</v>
      </c>
      <c r="D4370" s="18" t="s">
        <v>404</v>
      </c>
      <c r="E4370" s="18" t="s">
        <v>405</v>
      </c>
      <c r="F4370" s="18" t="s">
        <v>406</v>
      </c>
      <c r="G4370" s="18" t="s">
        <v>407</v>
      </c>
      <c r="H4370" s="5" t="s">
        <v>408</v>
      </c>
      <c r="I4370" s="18" t="s">
        <v>409</v>
      </c>
      <c r="J4370" s="5" t="s">
        <v>410</v>
      </c>
      <c r="K4370" s="5" t="s">
        <v>411</v>
      </c>
      <c r="L4370" s="647" t="s">
        <v>412</v>
      </c>
    </row>
    <row r="4371" spans="2:12" ht="15">
      <c r="B4371" s="648" t="s">
        <v>549</v>
      </c>
      <c r="C4371" s="19"/>
      <c r="D4371" s="19"/>
      <c r="E4371" s="19"/>
      <c r="F4371" s="19"/>
      <c r="G4371" s="20"/>
      <c r="H4371" s="68"/>
      <c r="I4371" s="17"/>
      <c r="J4371" s="28"/>
      <c r="K4371" s="17"/>
      <c r="L4371" s="649"/>
    </row>
    <row r="4372" spans="2:12" ht="15">
      <c r="B4372" s="737" t="s">
        <v>588</v>
      </c>
      <c r="C4372" s="20">
        <v>50</v>
      </c>
      <c r="D4372" s="19"/>
      <c r="E4372" s="19"/>
      <c r="F4372" s="19"/>
      <c r="G4372" s="20"/>
      <c r="H4372" s="68"/>
      <c r="I4372" s="17">
        <v>2</v>
      </c>
      <c r="J4372" s="69"/>
      <c r="K4372" s="17"/>
      <c r="L4372" s="649">
        <f t="shared" ref="L4372:L4379" si="317">PRODUCT(C4372:K4372)</f>
        <v>100</v>
      </c>
    </row>
    <row r="4373" spans="2:12" ht="15">
      <c r="B4373" s="650" t="s">
        <v>589</v>
      </c>
      <c r="C4373" s="20">
        <v>50</v>
      </c>
      <c r="D4373" s="20"/>
      <c r="E4373" s="19"/>
      <c r="F4373" s="20"/>
      <c r="G4373" s="20"/>
      <c r="H4373" s="20"/>
      <c r="I4373" s="20">
        <v>2</v>
      </c>
      <c r="J4373" s="69"/>
      <c r="K4373" s="17"/>
      <c r="L4373" s="649">
        <f t="shared" si="317"/>
        <v>100</v>
      </c>
    </row>
    <row r="4374" spans="2:12" ht="15.75">
      <c r="B4374" s="759"/>
      <c r="C4374" s="176"/>
      <c r="D4374" s="176"/>
      <c r="E4374" s="175"/>
      <c r="F4374" s="176"/>
      <c r="G4374" s="176"/>
      <c r="H4374" s="843"/>
      <c r="I4374" s="176"/>
      <c r="J4374" s="175"/>
      <c r="K4374" s="167"/>
      <c r="L4374" s="649"/>
    </row>
    <row r="4375" spans="2:12" ht="15">
      <c r="B4375" s="751" t="s">
        <v>853</v>
      </c>
      <c r="C4375" s="20">
        <v>32</v>
      </c>
      <c r="D4375" s="20"/>
      <c r="E4375" s="19"/>
      <c r="F4375" s="20"/>
      <c r="G4375" s="20"/>
      <c r="H4375" s="844"/>
      <c r="I4375" s="20">
        <v>2</v>
      </c>
      <c r="J4375" s="19"/>
      <c r="K4375" s="17"/>
      <c r="L4375" s="649">
        <f t="shared" ref="L4375:L4377" si="318">PRODUCT(C4375:K4375)</f>
        <v>64</v>
      </c>
    </row>
    <row r="4376" spans="2:12" ht="15">
      <c r="B4376" s="751" t="s">
        <v>823</v>
      </c>
      <c r="C4376" s="20">
        <v>45</v>
      </c>
      <c r="D4376" s="20"/>
      <c r="E4376" s="19"/>
      <c r="F4376" s="20"/>
      <c r="G4376" s="20"/>
      <c r="H4376" s="844"/>
      <c r="I4376" s="20">
        <v>2</v>
      </c>
      <c r="J4376" s="19"/>
      <c r="K4376" s="17"/>
      <c r="L4376" s="649">
        <f t="shared" si="318"/>
        <v>90</v>
      </c>
    </row>
    <row r="4377" spans="2:12" ht="15">
      <c r="B4377" s="751" t="s">
        <v>854</v>
      </c>
      <c r="C4377" s="20">
        <v>45</v>
      </c>
      <c r="D4377" s="20"/>
      <c r="E4377" s="19"/>
      <c r="F4377" s="20"/>
      <c r="G4377" s="20"/>
      <c r="H4377" s="844"/>
      <c r="I4377" s="20">
        <v>2</v>
      </c>
      <c r="J4377" s="19"/>
      <c r="K4377" s="17"/>
      <c r="L4377" s="649">
        <f t="shared" si="318"/>
        <v>90</v>
      </c>
    </row>
    <row r="4378" spans="2:12" ht="15">
      <c r="B4378" s="648" t="s">
        <v>438</v>
      </c>
      <c r="C4378" s="20">
        <v>143</v>
      </c>
      <c r="D4378" s="20"/>
      <c r="E4378" s="20"/>
      <c r="F4378" s="20"/>
      <c r="G4378" s="20"/>
      <c r="H4378" s="19"/>
      <c r="I4378" s="20"/>
      <c r="J4378" s="19"/>
      <c r="K4378" s="17"/>
      <c r="L4378" s="649">
        <f t="shared" si="317"/>
        <v>143</v>
      </c>
    </row>
    <row r="4379" spans="2:12" ht="15">
      <c r="B4379" s="648" t="s">
        <v>464</v>
      </c>
      <c r="C4379" s="20">
        <v>58</v>
      </c>
      <c r="D4379" s="20"/>
      <c r="E4379" s="20"/>
      <c r="F4379" s="20"/>
      <c r="G4379" s="20"/>
      <c r="H4379" s="19"/>
      <c r="I4379" s="20">
        <v>2</v>
      </c>
      <c r="J4379" s="19"/>
      <c r="K4379" s="17"/>
      <c r="L4379" s="649">
        <f t="shared" si="317"/>
        <v>116</v>
      </c>
    </row>
    <row r="4380" spans="2:12" ht="15">
      <c r="B4380" s="648"/>
      <c r="C4380" s="20"/>
      <c r="D4380" s="20"/>
      <c r="E4380" s="20"/>
      <c r="F4380" s="20"/>
      <c r="G4380" s="20"/>
      <c r="H4380" s="19"/>
      <c r="I4380" s="20"/>
      <c r="J4380" s="19"/>
      <c r="K4380" s="17"/>
      <c r="L4380" s="649"/>
    </row>
    <row r="4381" spans="2:12" ht="15">
      <c r="B4381" s="648" t="s">
        <v>536</v>
      </c>
      <c r="C4381" s="20"/>
      <c r="D4381" s="20">
        <v>3.5</v>
      </c>
      <c r="E4381" s="20"/>
      <c r="F4381" s="20">
        <v>4.5</v>
      </c>
      <c r="G4381" s="20"/>
      <c r="H4381" s="19"/>
      <c r="I4381" s="20"/>
      <c r="J4381" s="19"/>
      <c r="K4381" s="17"/>
      <c r="L4381" s="649">
        <v>9.4500000000000011</v>
      </c>
    </row>
    <row r="4382" spans="2:12" ht="15">
      <c r="B4382" s="648" t="s">
        <v>537</v>
      </c>
      <c r="C4382" s="20"/>
      <c r="D4382" s="20">
        <v>3.5</v>
      </c>
      <c r="E4382" s="20"/>
      <c r="F4382" s="20">
        <v>4.5</v>
      </c>
      <c r="G4382" s="20"/>
      <c r="H4382" s="19"/>
      <c r="I4382" s="20"/>
      <c r="J4382" s="19"/>
      <c r="K4382" s="17"/>
      <c r="L4382" s="649">
        <v>9.4500000000000011</v>
      </c>
    </row>
    <row r="4383" spans="2:12" ht="15">
      <c r="B4383" s="648" t="s">
        <v>528</v>
      </c>
      <c r="C4383" s="20"/>
      <c r="D4383" s="20">
        <v>3.5</v>
      </c>
      <c r="E4383" s="20"/>
      <c r="F4383" s="20">
        <v>4.5</v>
      </c>
      <c r="G4383" s="20"/>
      <c r="H4383" s="19"/>
      <c r="I4383" s="20">
        <v>2</v>
      </c>
      <c r="J4383" s="19"/>
      <c r="K4383" s="17"/>
      <c r="L4383" s="649">
        <v>18.900000000000002</v>
      </c>
    </row>
    <row r="4384" spans="2:12" ht="15">
      <c r="B4384" s="648"/>
      <c r="C4384" s="20"/>
      <c r="D4384" s="20"/>
      <c r="E4384" s="20"/>
      <c r="F4384" s="20"/>
      <c r="G4384" s="20"/>
      <c r="H4384" s="19"/>
      <c r="I4384" s="20"/>
      <c r="J4384" s="19"/>
      <c r="K4384" s="17"/>
      <c r="L4384" s="649"/>
    </row>
    <row r="4385" spans="2:12" ht="15">
      <c r="B4385" s="648" t="s">
        <v>949</v>
      </c>
      <c r="C4385" s="19"/>
      <c r="D4385" s="19">
        <v>6.4</v>
      </c>
      <c r="E4385" s="19"/>
      <c r="F4385" s="19">
        <v>23.1</v>
      </c>
      <c r="G4385" s="20"/>
      <c r="H4385" s="68"/>
      <c r="I4385" s="17"/>
      <c r="J4385" s="28"/>
      <c r="K4385" s="17"/>
      <c r="L4385" s="649">
        <f>PRODUCT(C4385:K4385)</f>
        <v>147.84</v>
      </c>
    </row>
    <row r="4386" spans="2:12" ht="15">
      <c r="B4386" s="648" t="s">
        <v>950</v>
      </c>
      <c r="C4386" s="19"/>
      <c r="D4386" s="19">
        <v>4.5999999999999996</v>
      </c>
      <c r="E4386" s="19"/>
      <c r="F4386" s="19">
        <v>6.6</v>
      </c>
      <c r="G4386" s="20"/>
      <c r="H4386" s="68"/>
      <c r="I4386" s="17"/>
      <c r="J4386" s="28"/>
      <c r="K4386" s="17"/>
      <c r="L4386" s="649">
        <f>PRODUCT(C4386:K4386)</f>
        <v>30.359999999999996</v>
      </c>
    </row>
    <row r="4387" spans="2:12" ht="15">
      <c r="B4387" s="648" t="s">
        <v>951</v>
      </c>
      <c r="C4387" s="20"/>
      <c r="D4387" s="19">
        <v>5.8</v>
      </c>
      <c r="E4387" s="19"/>
      <c r="F4387" s="19">
        <v>11.1</v>
      </c>
      <c r="G4387" s="20"/>
      <c r="H4387" s="68"/>
      <c r="I4387" s="17">
        <v>2</v>
      </c>
      <c r="J4387" s="19"/>
      <c r="K4387" s="17"/>
      <c r="L4387" s="649">
        <f t="shared" ref="L4387:L4393" si="319">PRODUCT(C4387:K4387)</f>
        <v>128.76</v>
      </c>
    </row>
    <row r="4388" spans="2:12" ht="15">
      <c r="B4388" s="648" t="s">
        <v>952</v>
      </c>
      <c r="C4388" s="20"/>
      <c r="D4388" s="19">
        <v>5.8</v>
      </c>
      <c r="E4388" s="19"/>
      <c r="F4388" s="19">
        <v>3.6</v>
      </c>
      <c r="G4388" s="20"/>
      <c r="H4388" s="68"/>
      <c r="I4388" s="17">
        <v>2</v>
      </c>
      <c r="J4388" s="19"/>
      <c r="K4388" s="17"/>
      <c r="L4388" s="649">
        <f t="shared" si="319"/>
        <v>41.76</v>
      </c>
    </row>
    <row r="4389" spans="2:12" ht="15">
      <c r="B4389" s="650" t="s">
        <v>536</v>
      </c>
      <c r="C4389" s="20"/>
      <c r="D4389" s="20">
        <v>4</v>
      </c>
      <c r="E4389" s="20"/>
      <c r="F4389" s="20">
        <v>5.5</v>
      </c>
      <c r="G4389" s="20"/>
      <c r="H4389" s="20"/>
      <c r="I4389" s="20"/>
      <c r="J4389" s="19"/>
      <c r="K4389" s="17"/>
      <c r="L4389" s="649">
        <f t="shared" si="319"/>
        <v>22</v>
      </c>
    </row>
    <row r="4390" spans="2:12" ht="15">
      <c r="B4390" s="650" t="s">
        <v>537</v>
      </c>
      <c r="C4390" s="20"/>
      <c r="D4390" s="20">
        <v>4</v>
      </c>
      <c r="E4390" s="20"/>
      <c r="F4390" s="20">
        <v>5.5</v>
      </c>
      <c r="G4390" s="20"/>
      <c r="H4390" s="19"/>
      <c r="I4390" s="20"/>
      <c r="J4390" s="19"/>
      <c r="K4390" s="17"/>
      <c r="L4390" s="649">
        <f t="shared" si="319"/>
        <v>22</v>
      </c>
    </row>
    <row r="4391" spans="2:12" ht="15">
      <c r="B4391" s="650" t="s">
        <v>528</v>
      </c>
      <c r="C4391" s="20"/>
      <c r="D4391" s="20">
        <v>4</v>
      </c>
      <c r="E4391" s="20"/>
      <c r="F4391" s="20">
        <v>5.5</v>
      </c>
      <c r="G4391" s="20"/>
      <c r="H4391" s="19"/>
      <c r="I4391" s="20">
        <v>2</v>
      </c>
      <c r="J4391" s="19"/>
      <c r="K4391" s="17"/>
      <c r="L4391" s="649">
        <f t="shared" si="319"/>
        <v>44</v>
      </c>
    </row>
    <row r="4392" spans="2:12" ht="15">
      <c r="B4392" s="650" t="s">
        <v>1039</v>
      </c>
      <c r="C4392" s="20">
        <v>280</v>
      </c>
      <c r="D4392" s="20"/>
      <c r="E4392" s="20"/>
      <c r="F4392" s="20"/>
      <c r="G4392" s="20"/>
      <c r="H4392" s="19"/>
      <c r="I4392" s="20">
        <v>1</v>
      </c>
      <c r="J4392" s="19"/>
      <c r="K4392" s="17"/>
      <c r="L4392" s="649">
        <f t="shared" si="319"/>
        <v>280</v>
      </c>
    </row>
    <row r="4393" spans="2:12" ht="15">
      <c r="B4393" s="650" t="s">
        <v>919</v>
      </c>
      <c r="C4393" s="20">
        <v>280</v>
      </c>
      <c r="D4393" s="20"/>
      <c r="E4393" s="20"/>
      <c r="F4393" s="20"/>
      <c r="G4393" s="20"/>
      <c r="H4393" s="19"/>
      <c r="I4393" s="20">
        <v>1</v>
      </c>
      <c r="J4393" s="19"/>
      <c r="K4393" s="17"/>
      <c r="L4393" s="649">
        <f t="shared" si="319"/>
        <v>280</v>
      </c>
    </row>
    <row r="4394" spans="2:12" ht="15.75">
      <c r="B4394" s="981"/>
      <c r="C4394" s="982"/>
      <c r="D4394" s="982"/>
      <c r="E4394" s="982"/>
      <c r="F4394" s="982"/>
      <c r="G4394" s="982"/>
      <c r="H4394" s="982"/>
      <c r="I4394" s="982"/>
      <c r="J4394" s="982"/>
      <c r="K4394" s="982"/>
      <c r="L4394" s="983"/>
    </row>
    <row r="4395" spans="2:12">
      <c r="B4395" s="651"/>
      <c r="L4395" s="652"/>
    </row>
    <row r="4396" spans="2:12" ht="15">
      <c r="B4396" s="1005"/>
      <c r="C4396" s="1006"/>
      <c r="D4396" s="1006"/>
      <c r="E4396" s="1006"/>
      <c r="F4396" s="1006"/>
      <c r="G4396" s="1006"/>
      <c r="H4396" s="1006"/>
      <c r="I4396" s="1006"/>
      <c r="J4396" s="1006"/>
      <c r="K4396" s="1006"/>
      <c r="L4396" s="1007"/>
    </row>
    <row r="4397" spans="2:12" ht="15.6" customHeight="1">
      <c r="B4397" s="638" t="s">
        <v>398</v>
      </c>
      <c r="C4397" s="8">
        <v>9</v>
      </c>
      <c r="D4397" s="1008" t="s">
        <v>1032</v>
      </c>
      <c r="E4397" s="1009"/>
      <c r="F4397" s="1009"/>
      <c r="G4397" s="1009"/>
      <c r="H4397" s="1009"/>
      <c r="I4397" s="1009"/>
      <c r="J4397" s="1009"/>
      <c r="K4397" s="1009"/>
      <c r="L4397" s="1010"/>
    </row>
    <row r="4398" spans="2:12" ht="15">
      <c r="B4398" s="1005"/>
      <c r="C4398" s="1006"/>
      <c r="D4398" s="1006"/>
      <c r="E4398" s="1006"/>
      <c r="F4398" s="1006"/>
      <c r="G4398" s="1006"/>
      <c r="H4398" s="1006"/>
      <c r="I4398" s="1006"/>
      <c r="J4398" s="1006"/>
      <c r="K4398" s="1006"/>
      <c r="L4398" s="1007"/>
    </row>
    <row r="4399" spans="2:12" ht="15.6" customHeight="1">
      <c r="B4399" s="642" t="s">
        <v>399</v>
      </c>
      <c r="C4399" s="25">
        <f>+'PROPUESTA ECONOMICA(Proponente)'!C530</f>
        <v>9.4</v>
      </c>
      <c r="D4399" s="12" t="str">
        <f>+VLOOKUP('MEMORIAS DE CANTIDADES'!C4399,'PROPUESTA ECONOMICA(Proponente)'!$C$379:$H$661,5,FALSE)</f>
        <v>Rampas para movilidad reducida e= 0,08 cm (incluye malla electrosoldada, suministro e instalación de concreto 3000PSI, formaleta y rayado en forma espina pescado)</v>
      </c>
      <c r="E4399" s="13"/>
      <c r="F4399" s="12"/>
      <c r="G4399" s="12"/>
      <c r="H4399" s="12"/>
      <c r="I4399" s="11" t="s">
        <v>400</v>
      </c>
      <c r="J4399" s="12" t="str">
        <f>+VLOOKUP('MEMORIAS DE CANTIDADES'!C4399,'PROPUESTA ECONOMICA(Proponente)'!$C$379:$H$661,6,FALSE)</f>
        <v>m2</v>
      </c>
      <c r="K4399" s="11" t="s">
        <v>401</v>
      </c>
      <c r="L4399" s="643">
        <f>SUM(L4400:L4407)</f>
        <v>7.1999999999999993</v>
      </c>
    </row>
    <row r="4400" spans="2:12" ht="15">
      <c r="B4400" s="644"/>
      <c r="C4400" s="16"/>
      <c r="D4400" s="15"/>
      <c r="E4400" s="15"/>
      <c r="F4400" s="15"/>
      <c r="G4400" s="15"/>
      <c r="H4400" s="15"/>
      <c r="I4400" s="15"/>
      <c r="J4400" s="15"/>
      <c r="K4400" s="17"/>
      <c r="L4400" s="645"/>
    </row>
    <row r="4401" spans="2:12" ht="47.25">
      <c r="B4401" s="646" t="s">
        <v>402</v>
      </c>
      <c r="C4401" s="18" t="s">
        <v>403</v>
      </c>
      <c r="D4401" s="18" t="s">
        <v>404</v>
      </c>
      <c r="E4401" s="18" t="s">
        <v>405</v>
      </c>
      <c r="F4401" s="18" t="s">
        <v>406</v>
      </c>
      <c r="G4401" s="18" t="s">
        <v>407</v>
      </c>
      <c r="H4401" s="5" t="s">
        <v>408</v>
      </c>
      <c r="I4401" s="18" t="s">
        <v>409</v>
      </c>
      <c r="J4401" s="5" t="s">
        <v>410</v>
      </c>
      <c r="K4401" s="5" t="s">
        <v>411</v>
      </c>
      <c r="L4401" s="647" t="s">
        <v>412</v>
      </c>
    </row>
    <row r="4402" spans="2:12" ht="15">
      <c r="B4402" s="648" t="s">
        <v>540</v>
      </c>
      <c r="C4402" s="19"/>
      <c r="D4402" s="19">
        <v>1.2</v>
      </c>
      <c r="E4402" s="19"/>
      <c r="F4402" s="19">
        <v>1</v>
      </c>
      <c r="G4402" s="20"/>
      <c r="H4402" s="68"/>
      <c r="I4402" s="17">
        <v>6</v>
      </c>
      <c r="J4402" s="28"/>
      <c r="K4402" s="17"/>
      <c r="L4402" s="649">
        <f>PRODUCT(C4402:K4402)</f>
        <v>7.1999999999999993</v>
      </c>
    </row>
    <row r="4403" spans="2:12" ht="15">
      <c r="B4403" s="648"/>
      <c r="C4403" s="20"/>
      <c r="D4403" s="19"/>
      <c r="E4403" s="19"/>
      <c r="F4403" s="19"/>
      <c r="G4403" s="20"/>
      <c r="H4403" s="68"/>
      <c r="I4403" s="17"/>
      <c r="J4403" s="19"/>
      <c r="K4403" s="17"/>
      <c r="L4403" s="649">
        <f t="shared" ref="L4403" si="320">PRODUCT(C4403:K4403)</f>
        <v>0</v>
      </c>
    </row>
    <row r="4404" spans="2:12" ht="15">
      <c r="B4404" s="650"/>
      <c r="C4404" s="20"/>
      <c r="D4404" s="20"/>
      <c r="E4404" s="20"/>
      <c r="F4404" s="20"/>
      <c r="G4404" s="20"/>
      <c r="H4404" s="20"/>
      <c r="I4404" s="20"/>
      <c r="J4404" s="19"/>
      <c r="K4404" s="17"/>
      <c r="L4404" s="649"/>
    </row>
    <row r="4405" spans="2:12" ht="15">
      <c r="B4405" s="650"/>
      <c r="C4405" s="20"/>
      <c r="D4405" s="20"/>
      <c r="E4405" s="20"/>
      <c r="F4405" s="20"/>
      <c r="G4405" s="20"/>
      <c r="H4405" s="19"/>
      <c r="I4405" s="20"/>
      <c r="J4405" s="19"/>
      <c r="K4405" s="17"/>
      <c r="L4405" s="649"/>
    </row>
    <row r="4406" spans="2:12" ht="15">
      <c r="B4406" s="650"/>
      <c r="C4406" s="20"/>
      <c r="D4406" s="20"/>
      <c r="E4406" s="20"/>
      <c r="F4406" s="20"/>
      <c r="G4406" s="20"/>
      <c r="H4406" s="19"/>
      <c r="I4406" s="20"/>
      <c r="J4406" s="19"/>
      <c r="K4406" s="17"/>
      <c r="L4406" s="649"/>
    </row>
    <row r="4407" spans="2:12" ht="15.75">
      <c r="B4407" s="981" t="s">
        <v>414</v>
      </c>
      <c r="C4407" s="982"/>
      <c r="D4407" s="982"/>
      <c r="E4407" s="982"/>
      <c r="F4407" s="982"/>
      <c r="G4407" s="982"/>
      <c r="H4407" s="982"/>
      <c r="I4407" s="982"/>
      <c r="J4407" s="982"/>
      <c r="K4407" s="982"/>
      <c r="L4407" s="983"/>
    </row>
    <row r="4408" spans="2:12">
      <c r="B4408" s="767"/>
      <c r="C4408" s="70"/>
      <c r="D4408" s="70"/>
      <c r="E4408" s="70"/>
      <c r="F4408" s="70"/>
      <c r="G4408" s="70"/>
      <c r="H4408" s="70"/>
      <c r="I4408" s="70"/>
      <c r="J4408" s="70"/>
      <c r="K4408" s="70"/>
      <c r="L4408" s="768"/>
    </row>
    <row r="4409" spans="2:12" ht="15.6" customHeight="1">
      <c r="B4409" s="638" t="s">
        <v>398</v>
      </c>
      <c r="C4409" s="8">
        <v>9</v>
      </c>
      <c r="D4409" s="1008" t="s">
        <v>1032</v>
      </c>
      <c r="E4409" s="1009"/>
      <c r="F4409" s="1009"/>
      <c r="G4409" s="1009"/>
      <c r="H4409" s="1009"/>
      <c r="I4409" s="1009"/>
      <c r="J4409" s="1009"/>
      <c r="K4409" s="1009"/>
      <c r="L4409" s="1010"/>
    </row>
    <row r="4410" spans="2:12" ht="15">
      <c r="B4410" s="640"/>
      <c r="C4410" s="579"/>
      <c r="D4410" s="579"/>
      <c r="E4410" s="579"/>
      <c r="F4410" s="579"/>
      <c r="G4410" s="579"/>
      <c r="H4410" s="579"/>
      <c r="I4410" s="579"/>
      <c r="J4410" s="579"/>
      <c r="K4410" s="579"/>
      <c r="L4410" s="641"/>
    </row>
    <row r="4411" spans="2:12" ht="50.25" customHeight="1">
      <c r="B4411" s="642" t="s">
        <v>399</v>
      </c>
      <c r="C4411" s="25">
        <f>+'PROPUESTA ECONOMICA(Proponente)'!C531</f>
        <v>9.5</v>
      </c>
      <c r="D4411" s="12" t="str">
        <f>+VLOOKUP('MEMORIAS DE CANTIDADES'!C4411,'PROPUESTA ECONOMICA(Proponente)'!$C$379:$H$661,5,FALSE)</f>
        <v>Pisos en granito de 30x30 cm , Baños, cafetería, camerinos. (incluye suministro y aplicación de boquilla en juntas).</v>
      </c>
      <c r="E4411" s="13"/>
      <c r="F4411" s="12"/>
      <c r="G4411" s="12"/>
      <c r="H4411" s="12"/>
      <c r="I4411" s="11" t="s">
        <v>400</v>
      </c>
      <c r="J4411" s="12" t="str">
        <f>+VLOOKUP('MEMORIAS DE CANTIDADES'!C4411,'PROPUESTA ECONOMICA(Proponente)'!$C$379:$H$661,6,FALSE)</f>
        <v>m2</v>
      </c>
      <c r="K4411" s="11" t="s">
        <v>401</v>
      </c>
      <c r="L4411" s="643">
        <f>SUM(L4412:L4427)</f>
        <v>740.80000000000007</v>
      </c>
    </row>
    <row r="4412" spans="2:12" ht="15">
      <c r="B4412" s="644"/>
      <c r="C4412" s="16"/>
      <c r="D4412" s="15"/>
      <c r="E4412" s="15"/>
      <c r="F4412" s="15"/>
      <c r="G4412" s="15"/>
      <c r="H4412" s="15"/>
      <c r="I4412" s="15"/>
      <c r="J4412" s="15"/>
      <c r="K4412" s="17"/>
      <c r="L4412" s="645"/>
    </row>
    <row r="4413" spans="2:12" ht="47.25">
      <c r="B4413" s="646" t="s">
        <v>402</v>
      </c>
      <c r="C4413" s="18" t="s">
        <v>403</v>
      </c>
      <c r="D4413" s="18" t="s">
        <v>404</v>
      </c>
      <c r="E4413" s="18" t="s">
        <v>405</v>
      </c>
      <c r="F4413" s="18" t="s">
        <v>406</v>
      </c>
      <c r="G4413" s="18" t="s">
        <v>407</v>
      </c>
      <c r="H4413" s="5" t="s">
        <v>408</v>
      </c>
      <c r="I4413" s="18" t="s">
        <v>409</v>
      </c>
      <c r="J4413" s="5" t="s">
        <v>410</v>
      </c>
      <c r="K4413" s="5" t="s">
        <v>411</v>
      </c>
      <c r="L4413" s="647" t="s">
        <v>412</v>
      </c>
    </row>
    <row r="4414" spans="2:12" ht="15">
      <c r="B4414" s="648"/>
      <c r="C4414" s="19"/>
      <c r="D4414" s="19"/>
      <c r="E4414" s="19"/>
      <c r="F4414" s="19"/>
      <c r="G4414" s="20"/>
      <c r="H4414" s="68"/>
      <c r="I4414" s="17"/>
      <c r="J4414" s="28"/>
      <c r="K4414" s="17"/>
      <c r="L4414" s="649"/>
    </row>
    <row r="4415" spans="2:12" ht="15">
      <c r="B4415" s="648" t="s">
        <v>549</v>
      </c>
      <c r="C4415" s="19"/>
      <c r="D4415" s="19"/>
      <c r="E4415" s="19"/>
      <c r="F4415" s="19"/>
      <c r="G4415" s="20"/>
      <c r="H4415" s="68"/>
      <c r="I4415" s="17"/>
      <c r="J4415" s="69"/>
      <c r="K4415" s="17"/>
      <c r="L4415" s="649"/>
    </row>
    <row r="4416" spans="2:12" ht="15">
      <c r="B4416" s="737" t="s">
        <v>588</v>
      </c>
      <c r="C4416" s="20">
        <v>50</v>
      </c>
      <c r="D4416" s="19"/>
      <c r="E4416" s="19"/>
      <c r="F4416" s="19"/>
      <c r="G4416" s="20"/>
      <c r="H4416" s="20"/>
      <c r="I4416" s="20"/>
      <c r="J4416" s="69">
        <v>2</v>
      </c>
      <c r="K4416" s="17"/>
      <c r="L4416" s="649">
        <f t="shared" ref="L4416:L4417" si="321">PRODUCT(C4416:K4416)</f>
        <v>100</v>
      </c>
    </row>
    <row r="4417" spans="2:12" ht="15">
      <c r="B4417" s="650" t="s">
        <v>589</v>
      </c>
      <c r="C4417" s="20">
        <v>50</v>
      </c>
      <c r="D4417" s="20"/>
      <c r="E4417" s="19"/>
      <c r="F4417" s="20"/>
      <c r="G4417" s="20"/>
      <c r="H4417" s="19"/>
      <c r="I4417" s="20"/>
      <c r="J4417" s="19">
        <v>2</v>
      </c>
      <c r="K4417" s="17"/>
      <c r="L4417" s="649">
        <f t="shared" si="321"/>
        <v>100</v>
      </c>
    </row>
    <row r="4418" spans="2:12" ht="15">
      <c r="B4418" s="648" t="s">
        <v>438</v>
      </c>
      <c r="C4418" s="20">
        <v>143</v>
      </c>
      <c r="D4418" s="20"/>
      <c r="E4418" s="20"/>
      <c r="F4418" s="20"/>
      <c r="G4418" s="20"/>
      <c r="H4418" s="19"/>
      <c r="I4418" s="20"/>
      <c r="J4418" s="19"/>
      <c r="K4418" s="17"/>
      <c r="L4418" s="649">
        <f t="shared" ref="L4418:L4421" si="322">PRODUCT(C4418:K4418)</f>
        <v>143</v>
      </c>
    </row>
    <row r="4419" spans="2:12" ht="15">
      <c r="B4419" s="648" t="s">
        <v>464</v>
      </c>
      <c r="C4419" s="20">
        <v>58</v>
      </c>
      <c r="D4419" s="20"/>
      <c r="E4419" s="20"/>
      <c r="F4419" s="20"/>
      <c r="G4419" s="20"/>
      <c r="H4419" s="19"/>
      <c r="I4419" s="20">
        <v>2</v>
      </c>
      <c r="J4419" s="19"/>
      <c r="K4419" s="17"/>
      <c r="L4419" s="649">
        <f t="shared" si="322"/>
        <v>116</v>
      </c>
    </row>
    <row r="4420" spans="2:12" ht="15">
      <c r="B4420" s="751" t="s">
        <v>853</v>
      </c>
      <c r="C4420" s="20">
        <v>32</v>
      </c>
      <c r="D4420" s="20"/>
      <c r="E4420" s="19"/>
      <c r="F4420" s="20"/>
      <c r="G4420" s="20"/>
      <c r="H4420" s="844"/>
      <c r="I4420" s="20">
        <v>2</v>
      </c>
      <c r="J4420" s="19"/>
      <c r="K4420" s="17"/>
      <c r="L4420" s="649">
        <f t="shared" si="322"/>
        <v>64</v>
      </c>
    </row>
    <row r="4421" spans="2:12" ht="15">
      <c r="B4421" s="751" t="s">
        <v>823</v>
      </c>
      <c r="C4421" s="20">
        <v>45</v>
      </c>
      <c r="D4421" s="20"/>
      <c r="E4421" s="19"/>
      <c r="F4421" s="20"/>
      <c r="G4421" s="20"/>
      <c r="H4421" s="844"/>
      <c r="I4421" s="20">
        <v>2</v>
      </c>
      <c r="J4421" s="19"/>
      <c r="K4421" s="17"/>
      <c r="L4421" s="649">
        <f t="shared" si="322"/>
        <v>90</v>
      </c>
    </row>
    <row r="4422" spans="2:12" ht="15">
      <c r="B4422" s="751" t="s">
        <v>854</v>
      </c>
      <c r="C4422" s="20">
        <v>45</v>
      </c>
      <c r="D4422" s="20"/>
      <c r="E4422" s="19"/>
      <c r="F4422" s="20"/>
      <c r="G4422" s="20"/>
      <c r="H4422" s="19"/>
      <c r="I4422" s="20">
        <v>2</v>
      </c>
      <c r="J4422" s="19"/>
      <c r="K4422" s="17"/>
      <c r="L4422" s="649">
        <f>PRODUCT(C4422:K4422)</f>
        <v>90</v>
      </c>
    </row>
    <row r="4423" spans="2:12" ht="15">
      <c r="B4423" s="751"/>
      <c r="C4423" s="20"/>
      <c r="D4423" s="20"/>
      <c r="E4423" s="19"/>
      <c r="F4423" s="20"/>
      <c r="G4423" s="20"/>
      <c r="H4423" s="19"/>
      <c r="I4423" s="20"/>
      <c r="J4423" s="19"/>
      <c r="K4423" s="17"/>
      <c r="L4423" s="649"/>
    </row>
    <row r="4424" spans="2:12" ht="15">
      <c r="B4424" s="648" t="s">
        <v>536</v>
      </c>
      <c r="C4424" s="20"/>
      <c r="D4424" s="20">
        <v>3.5</v>
      </c>
      <c r="E4424" s="20"/>
      <c r="F4424" s="20">
        <v>4.5</v>
      </c>
      <c r="G4424" s="20"/>
      <c r="H4424" s="19"/>
      <c r="I4424" s="20"/>
      <c r="J4424" s="19"/>
      <c r="K4424" s="17"/>
      <c r="L4424" s="649">
        <v>9.4500000000000011</v>
      </c>
    </row>
    <row r="4425" spans="2:12" ht="15">
      <c r="B4425" s="648" t="s">
        <v>537</v>
      </c>
      <c r="C4425" s="20"/>
      <c r="D4425" s="20">
        <v>3.5</v>
      </c>
      <c r="E4425" s="20"/>
      <c r="F4425" s="20">
        <v>4.5</v>
      </c>
      <c r="G4425" s="20"/>
      <c r="H4425" s="19"/>
      <c r="I4425" s="20"/>
      <c r="J4425" s="19"/>
      <c r="K4425" s="17"/>
      <c r="L4425" s="649">
        <v>9.4500000000000011</v>
      </c>
    </row>
    <row r="4426" spans="2:12" ht="15">
      <c r="B4426" s="648" t="s">
        <v>528</v>
      </c>
      <c r="C4426" s="20"/>
      <c r="D4426" s="20">
        <v>3.5</v>
      </c>
      <c r="E4426" s="20"/>
      <c r="F4426" s="20">
        <v>4.5</v>
      </c>
      <c r="G4426" s="20"/>
      <c r="H4426" s="19"/>
      <c r="I4426" s="20">
        <v>2</v>
      </c>
      <c r="J4426" s="19"/>
      <c r="K4426" s="17"/>
      <c r="L4426" s="649">
        <v>18.900000000000002</v>
      </c>
    </row>
    <row r="4427" spans="2:12" ht="15">
      <c r="B4427" s="751"/>
      <c r="C4427" s="20"/>
      <c r="D4427" s="20"/>
      <c r="E4427" s="19"/>
      <c r="F4427" s="20"/>
      <c r="G4427" s="20"/>
      <c r="H4427" s="19"/>
      <c r="I4427" s="20"/>
      <c r="J4427" s="19"/>
      <c r="K4427" s="17"/>
      <c r="L4427" s="649"/>
    </row>
    <row r="4428" spans="2:12" ht="15">
      <c r="B4428" s="845"/>
      <c r="C4428" s="449"/>
      <c r="D4428" s="449"/>
      <c r="E4428" s="448"/>
      <c r="F4428" s="449"/>
      <c r="G4428" s="449"/>
      <c r="H4428" s="448"/>
      <c r="I4428" s="449"/>
      <c r="J4428" s="448"/>
      <c r="K4428" s="774"/>
      <c r="L4428" s="776"/>
    </row>
    <row r="4429" spans="2:12" ht="21.75" customHeight="1">
      <c r="B4429" s="651"/>
      <c r="L4429" s="652"/>
    </row>
    <row r="4430" spans="2:12" ht="15.6" customHeight="1">
      <c r="B4430" s="638" t="s">
        <v>398</v>
      </c>
      <c r="C4430" s="8">
        <v>9</v>
      </c>
      <c r="D4430" s="1008" t="s">
        <v>1032</v>
      </c>
      <c r="E4430" s="1009"/>
      <c r="F4430" s="1009"/>
      <c r="G4430" s="1009"/>
      <c r="H4430" s="1009"/>
      <c r="I4430" s="1009"/>
      <c r="J4430" s="1009"/>
      <c r="K4430" s="1009"/>
      <c r="L4430" s="1010"/>
    </row>
    <row r="4431" spans="2:12" ht="15">
      <c r="B4431" s="640"/>
      <c r="C4431" s="579"/>
      <c r="D4431" s="579"/>
      <c r="E4431" s="579"/>
      <c r="F4431" s="579"/>
      <c r="G4431" s="579"/>
      <c r="H4431" s="579"/>
      <c r="I4431" s="579"/>
      <c r="J4431" s="579"/>
      <c r="K4431" s="579"/>
      <c r="L4431" s="641"/>
    </row>
    <row r="4432" spans="2:12" ht="53.25" customHeight="1">
      <c r="B4432" s="642" t="s">
        <v>399</v>
      </c>
      <c r="C4432" s="25">
        <f>+'PROPUESTA ECONOMICA(Proponente)'!C532</f>
        <v>9.6</v>
      </c>
      <c r="D4432" s="12" t="str">
        <f>+VLOOKUP('MEMORIAS DE CANTIDADES'!C4432,'PROPUESTA ECONOMICA(Proponente)'!$C$379:$H$661,5,FALSE)</f>
        <v xml:space="preserve">Enchape en pared cerámica  blanca 20x30 o similar (Incluye suministro, pegante, y aplicación de boquilla en juntas). </v>
      </c>
      <c r="E4432" s="13"/>
      <c r="F4432" s="12"/>
      <c r="G4432" s="12"/>
      <c r="H4432" s="12"/>
      <c r="I4432" s="11" t="s">
        <v>400</v>
      </c>
      <c r="J4432" s="12" t="str">
        <f>+VLOOKUP('MEMORIAS DE CANTIDADES'!C4432,'PROPUESTA ECONOMICA(Proponente)'!$C$379:$H$661,6,FALSE)</f>
        <v>m2</v>
      </c>
      <c r="K4432" s="11" t="s">
        <v>401</v>
      </c>
      <c r="L4432" s="643">
        <f>SUM(L4433:L4452)</f>
        <v>748.07</v>
      </c>
    </row>
    <row r="4433" spans="2:12" ht="43.5" customHeight="1">
      <c r="B4433" s="644"/>
      <c r="C4433" s="16"/>
      <c r="D4433" s="15"/>
      <c r="E4433" s="15"/>
      <c r="F4433" s="15"/>
      <c r="G4433" s="15"/>
      <c r="H4433" s="15"/>
      <c r="I4433" s="15"/>
      <c r="J4433" s="15"/>
      <c r="K4433" s="17"/>
      <c r="L4433" s="645"/>
    </row>
    <row r="4434" spans="2:12" ht="47.25">
      <c r="B4434" s="646" t="s">
        <v>402</v>
      </c>
      <c r="C4434" s="18" t="s">
        <v>403</v>
      </c>
      <c r="D4434" s="18" t="s">
        <v>404</v>
      </c>
      <c r="E4434" s="18" t="s">
        <v>405</v>
      </c>
      <c r="F4434" s="18" t="s">
        <v>406</v>
      </c>
      <c r="G4434" s="18" t="s">
        <v>407</v>
      </c>
      <c r="H4434" s="5" t="s">
        <v>408</v>
      </c>
      <c r="I4434" s="18" t="s">
        <v>409</v>
      </c>
      <c r="J4434" s="5" t="s">
        <v>410</v>
      </c>
      <c r="K4434" s="5" t="s">
        <v>411</v>
      </c>
      <c r="L4434" s="647" t="s">
        <v>412</v>
      </c>
    </row>
    <row r="4435" spans="2:12" ht="15.75">
      <c r="B4435" s="732"/>
      <c r="C4435" s="463"/>
      <c r="D4435" s="463"/>
      <c r="E4435" s="463"/>
      <c r="F4435" s="463"/>
      <c r="G4435" s="463"/>
      <c r="H4435" s="464"/>
      <c r="I4435" s="1"/>
      <c r="J4435" s="1"/>
      <c r="K4435" s="1"/>
      <c r="L4435" s="846"/>
    </row>
    <row r="4436" spans="2:12" ht="15.75">
      <c r="B4436" s="847" t="s">
        <v>580</v>
      </c>
      <c r="C4436" s="463"/>
      <c r="D4436" s="463"/>
      <c r="E4436" s="463"/>
      <c r="F4436" s="463"/>
      <c r="G4436" s="463"/>
      <c r="H4436" s="464"/>
      <c r="I4436" s="1"/>
      <c r="J4436" s="465"/>
      <c r="K4436" s="1"/>
      <c r="L4436" s="846"/>
    </row>
    <row r="4437" spans="2:12" ht="15">
      <c r="B4437" s="723" t="s">
        <v>541</v>
      </c>
      <c r="C4437" s="463"/>
      <c r="D4437" s="463"/>
      <c r="E4437" s="19">
        <v>2</v>
      </c>
      <c r="F4437" s="463">
        <v>31.8</v>
      </c>
      <c r="G4437" s="463"/>
      <c r="H4437" s="463"/>
      <c r="I4437" s="463"/>
      <c r="J4437" s="465">
        <v>2</v>
      </c>
      <c r="K4437" s="1"/>
      <c r="L4437" s="846">
        <f t="shared" ref="L4437:L4442" si="323">PRODUCT(C4437:K4437)</f>
        <v>127.2</v>
      </c>
    </row>
    <row r="4438" spans="2:12" ht="15">
      <c r="B4438" s="723" t="s">
        <v>542</v>
      </c>
      <c r="C4438" s="463"/>
      <c r="D4438" s="463"/>
      <c r="E4438" s="19">
        <v>2</v>
      </c>
      <c r="F4438" s="463">
        <v>5</v>
      </c>
      <c r="G4438" s="463"/>
      <c r="H4438" s="463"/>
      <c r="I4438" s="463"/>
      <c r="J4438" s="463">
        <v>2</v>
      </c>
      <c r="K4438" s="1"/>
      <c r="L4438" s="846">
        <f t="shared" si="323"/>
        <v>20</v>
      </c>
    </row>
    <row r="4439" spans="2:12" ht="15">
      <c r="B4439" s="723" t="s">
        <v>543</v>
      </c>
      <c r="C4439" s="463"/>
      <c r="D4439" s="463"/>
      <c r="E4439" s="19">
        <v>2</v>
      </c>
      <c r="F4439" s="463">
        <v>7.65</v>
      </c>
      <c r="G4439" s="463"/>
      <c r="H4439" s="463"/>
      <c r="I4439" s="463"/>
      <c r="J4439" s="463">
        <v>2</v>
      </c>
      <c r="K4439" s="1"/>
      <c r="L4439" s="846">
        <f t="shared" si="323"/>
        <v>30.6</v>
      </c>
    </row>
    <row r="4440" spans="2:12" ht="15">
      <c r="B4440" s="723" t="s">
        <v>544</v>
      </c>
      <c r="C4440" s="463"/>
      <c r="D4440" s="463"/>
      <c r="E4440" s="19">
        <v>2</v>
      </c>
      <c r="F4440" s="463">
        <f>26.5+3.28+1.33</f>
        <v>31.11</v>
      </c>
      <c r="G4440" s="463"/>
      <c r="H4440" s="463"/>
      <c r="I4440" s="463"/>
      <c r="J4440" s="463">
        <v>2</v>
      </c>
      <c r="K4440" s="1"/>
      <c r="L4440" s="846">
        <f t="shared" si="323"/>
        <v>124.44</v>
      </c>
    </row>
    <row r="4441" spans="2:12" ht="15">
      <c r="B4441" s="723" t="s">
        <v>542</v>
      </c>
      <c r="C4441" s="463"/>
      <c r="D4441" s="463"/>
      <c r="E4441" s="19">
        <v>2</v>
      </c>
      <c r="F4441" s="463">
        <v>5</v>
      </c>
      <c r="G4441" s="463"/>
      <c r="H4441" s="463"/>
      <c r="I4441" s="463"/>
      <c r="J4441" s="463">
        <v>2</v>
      </c>
      <c r="K4441" s="1"/>
      <c r="L4441" s="846">
        <f t="shared" si="323"/>
        <v>20</v>
      </c>
    </row>
    <row r="4442" spans="2:12" ht="15">
      <c r="B4442" s="723" t="s">
        <v>543</v>
      </c>
      <c r="C4442" s="463"/>
      <c r="D4442" s="463"/>
      <c r="E4442" s="19">
        <v>2</v>
      </c>
      <c r="F4442" s="463">
        <v>7.65</v>
      </c>
      <c r="G4442" s="463"/>
      <c r="H4442" s="463"/>
      <c r="I4442" s="463"/>
      <c r="J4442" s="463">
        <v>2</v>
      </c>
      <c r="K4442" s="1"/>
      <c r="L4442" s="846">
        <f t="shared" si="323"/>
        <v>30.6</v>
      </c>
    </row>
    <row r="4443" spans="2:12" ht="15.75">
      <c r="B4443" s="847" t="s">
        <v>545</v>
      </c>
      <c r="C4443" s="463"/>
      <c r="D4443" s="463"/>
      <c r="E4443" s="19"/>
      <c r="F4443" s="463"/>
      <c r="G4443" s="463"/>
      <c r="H4443" s="463"/>
      <c r="I4443" s="463"/>
      <c r="J4443" s="463"/>
      <c r="K4443" s="1"/>
      <c r="L4443" s="846"/>
    </row>
    <row r="4444" spans="2:12" ht="15">
      <c r="B4444" s="723" t="s">
        <v>546</v>
      </c>
      <c r="C4444" s="463"/>
      <c r="D4444" s="463"/>
      <c r="E4444" s="19">
        <v>2</v>
      </c>
      <c r="F4444" s="463">
        <v>7.57</v>
      </c>
      <c r="G4444" s="463"/>
      <c r="H4444" s="463"/>
      <c r="I4444" s="463"/>
      <c r="J4444" s="463"/>
      <c r="K4444" s="1"/>
      <c r="L4444" s="846">
        <f>PRODUCT(C4444:K4444)</f>
        <v>15.14</v>
      </c>
    </row>
    <row r="4445" spans="2:12" ht="15">
      <c r="B4445" s="723" t="s">
        <v>547</v>
      </c>
      <c r="C4445" s="463"/>
      <c r="D4445" s="463"/>
      <c r="E4445" s="19">
        <v>2</v>
      </c>
      <c r="F4445" s="463">
        <v>7.16</v>
      </c>
      <c r="G4445" s="463"/>
      <c r="H4445" s="463"/>
      <c r="I4445" s="463"/>
      <c r="J4445" s="463">
        <v>2</v>
      </c>
      <c r="K4445" s="1"/>
      <c r="L4445" s="846">
        <f>PRODUCT(C4445:K4445)</f>
        <v>28.64</v>
      </c>
    </row>
    <row r="4446" spans="2:12" ht="15">
      <c r="B4446" s="650"/>
      <c r="C4446" s="463"/>
      <c r="D4446" s="463"/>
      <c r="E4446" s="19">
        <v>2</v>
      </c>
      <c r="F4446" s="463"/>
      <c r="G4446" s="463"/>
      <c r="H4446" s="463"/>
      <c r="I4446" s="463"/>
      <c r="J4446" s="463"/>
      <c r="K4446" s="1"/>
      <c r="L4446" s="846">
        <f>PRODUCT(C4446:K4446)</f>
        <v>2</v>
      </c>
    </row>
    <row r="4447" spans="2:12" ht="15">
      <c r="B4447" s="650" t="s">
        <v>853</v>
      </c>
      <c r="C4447" s="463"/>
      <c r="D4447" s="463"/>
      <c r="E4447" s="19">
        <v>2</v>
      </c>
      <c r="F4447" s="463">
        <v>31</v>
      </c>
      <c r="G4447" s="463"/>
      <c r="H4447" s="463"/>
      <c r="I4447" s="463"/>
      <c r="J4447" s="463">
        <v>2</v>
      </c>
      <c r="K4447" s="1"/>
      <c r="L4447" s="846">
        <f t="shared" ref="L4447:L4449" si="324">PRODUCT(C4447:K4447)</f>
        <v>124</v>
      </c>
    </row>
    <row r="4448" spans="2:12" ht="15">
      <c r="B4448" s="650" t="s">
        <v>823</v>
      </c>
      <c r="C4448" s="463"/>
      <c r="D4448" s="463"/>
      <c r="E4448" s="19">
        <v>2</v>
      </c>
      <c r="F4448" s="463">
        <v>31</v>
      </c>
      <c r="G4448" s="463"/>
      <c r="H4448" s="463"/>
      <c r="I4448" s="463"/>
      <c r="J4448" s="463">
        <v>2</v>
      </c>
      <c r="K4448" s="1"/>
      <c r="L4448" s="846">
        <f t="shared" si="324"/>
        <v>124</v>
      </c>
    </row>
    <row r="4449" spans="2:12" ht="15">
      <c r="B4449" s="650" t="s">
        <v>854</v>
      </c>
      <c r="C4449" s="463"/>
      <c r="D4449" s="463"/>
      <c r="E4449" s="19">
        <v>2</v>
      </c>
      <c r="F4449" s="463">
        <v>23</v>
      </c>
      <c r="G4449" s="463"/>
      <c r="H4449" s="463"/>
      <c r="I4449" s="463"/>
      <c r="J4449" s="463">
        <v>2</v>
      </c>
      <c r="K4449" s="1"/>
      <c r="L4449" s="846">
        <f t="shared" si="324"/>
        <v>92</v>
      </c>
    </row>
    <row r="4450" spans="2:12" ht="15">
      <c r="B4450" s="842"/>
      <c r="C4450" s="466"/>
      <c r="D4450" s="466"/>
      <c r="E4450" s="466"/>
      <c r="F4450" s="466"/>
      <c r="G4450" s="466"/>
      <c r="H4450" s="466"/>
      <c r="I4450" s="466"/>
      <c r="J4450" s="466"/>
      <c r="K4450" s="467"/>
      <c r="L4450" s="848"/>
    </row>
    <row r="4451" spans="2:12" ht="15">
      <c r="B4451" s="731" t="s">
        <v>537</v>
      </c>
      <c r="C4451" s="463"/>
      <c r="D4451" s="463">
        <v>3.5</v>
      </c>
      <c r="E4451" s="463"/>
      <c r="F4451" s="463">
        <v>4.5</v>
      </c>
      <c r="G4451" s="463"/>
      <c r="H4451" s="463"/>
      <c r="I4451" s="463"/>
      <c r="J4451" s="463"/>
      <c r="K4451" s="1"/>
      <c r="L4451" s="846">
        <v>9.4500000000000011</v>
      </c>
    </row>
    <row r="4452" spans="2:12" ht="15.75">
      <c r="B4452" s="1049"/>
      <c r="C4452" s="1050"/>
      <c r="D4452" s="1050"/>
      <c r="E4452" s="1050"/>
      <c r="F4452" s="1050"/>
      <c r="G4452" s="1050"/>
      <c r="H4452" s="1050"/>
      <c r="I4452" s="1050"/>
      <c r="J4452" s="1050"/>
      <c r="K4452" s="1050"/>
      <c r="L4452" s="1051"/>
    </row>
    <row r="4453" spans="2:12">
      <c r="B4453" s="651"/>
      <c r="L4453" s="652"/>
    </row>
    <row r="4454" spans="2:12" ht="15.6" customHeight="1">
      <c r="B4454" s="638" t="s">
        <v>398</v>
      </c>
      <c r="C4454" s="8">
        <v>9</v>
      </c>
      <c r="D4454" s="1008" t="s">
        <v>1032</v>
      </c>
      <c r="E4454" s="1009"/>
      <c r="F4454" s="1009"/>
      <c r="G4454" s="1009"/>
      <c r="H4454" s="1009"/>
      <c r="I4454" s="1009"/>
      <c r="J4454" s="1009"/>
      <c r="K4454" s="1009"/>
      <c r="L4454" s="1010"/>
    </row>
    <row r="4455" spans="2:12" ht="15">
      <c r="B4455" s="640"/>
      <c r="C4455" s="579"/>
      <c r="D4455" s="579"/>
      <c r="E4455" s="579"/>
      <c r="F4455" s="579"/>
      <c r="G4455" s="579"/>
      <c r="H4455" s="579"/>
      <c r="I4455" s="579"/>
      <c r="J4455" s="579"/>
      <c r="K4455" s="579"/>
      <c r="L4455" s="641"/>
    </row>
    <row r="4456" spans="2:12" ht="31.5">
      <c r="B4456" s="753" t="s">
        <v>399</v>
      </c>
      <c r="C4456" s="25">
        <f>+'PROPUESTA ECONOMICA(Proponente)'!C533</f>
        <v>9.6999999999999993</v>
      </c>
      <c r="D4456" s="12" t="str">
        <f>+VLOOKUP('MEMORIAS DE CANTIDADES'!C4456,'PROPUESTA ECONOMICA(Proponente)'!$C$379:$H$661,5,FALSE)</f>
        <v>Pintura en Vinilo tipo 1, dos manos (Altura menor a 2 m, incluye suministro)</v>
      </c>
      <c r="E4456" s="13"/>
      <c r="F4456" s="12"/>
      <c r="G4456" s="12"/>
      <c r="H4456" s="12"/>
      <c r="I4456" s="11" t="s">
        <v>400</v>
      </c>
      <c r="J4456" s="12" t="str">
        <f>+VLOOKUP('MEMORIAS DE CANTIDADES'!C4456,'PROPUESTA ECONOMICA(Proponente)'!$C$379:$H$661,6,FALSE)</f>
        <v>m2</v>
      </c>
      <c r="K4456" s="11" t="s">
        <v>401</v>
      </c>
      <c r="L4456" s="643">
        <f>SUM(L4457:L4488)</f>
        <v>450.55599999999993</v>
      </c>
    </row>
    <row r="4457" spans="2:12" ht="15">
      <c r="B4457" s="644"/>
      <c r="C4457" s="16"/>
      <c r="D4457" s="15"/>
      <c r="E4457" s="15"/>
      <c r="F4457" s="15"/>
      <c r="G4457" s="15"/>
      <c r="H4457" s="15"/>
      <c r="I4457" s="15"/>
      <c r="J4457" s="15"/>
      <c r="K4457" s="17"/>
      <c r="L4457" s="645"/>
    </row>
    <row r="4458" spans="2:12" ht="47.25">
      <c r="B4458" s="646" t="s">
        <v>402</v>
      </c>
      <c r="C4458" s="18" t="s">
        <v>403</v>
      </c>
      <c r="D4458" s="18" t="s">
        <v>404</v>
      </c>
      <c r="E4458" s="18" t="s">
        <v>405</v>
      </c>
      <c r="F4458" s="18" t="s">
        <v>406</v>
      </c>
      <c r="G4458" s="18" t="s">
        <v>407</v>
      </c>
      <c r="H4458" s="5" t="s">
        <v>408</v>
      </c>
      <c r="I4458" s="18" t="s">
        <v>409</v>
      </c>
      <c r="J4458" s="5" t="s">
        <v>410</v>
      </c>
      <c r="K4458" s="5" t="s">
        <v>411</v>
      </c>
      <c r="L4458" s="647" t="s">
        <v>412</v>
      </c>
    </row>
    <row r="4459" spans="2:12" ht="15">
      <c r="B4459" s="769" t="s">
        <v>541</v>
      </c>
      <c r="C4459" s="20"/>
      <c r="D4459" s="20"/>
      <c r="E4459" s="19">
        <v>0.6</v>
      </c>
      <c r="F4459" s="20">
        <f>37.8+1.28</f>
        <v>39.08</v>
      </c>
      <c r="G4459" s="20"/>
      <c r="H4459" s="20"/>
      <c r="I4459" s="20"/>
      <c r="J4459" s="69">
        <v>2</v>
      </c>
      <c r="K4459" s="17"/>
      <c r="L4459" s="649">
        <f>PRODUCT(C4459:K4459)</f>
        <v>46.895999999999994</v>
      </c>
    </row>
    <row r="4460" spans="2:12" ht="15">
      <c r="B4460" s="769" t="s">
        <v>542</v>
      </c>
      <c r="C4460" s="20"/>
      <c r="D4460" s="20"/>
      <c r="E4460" s="19">
        <v>0.6</v>
      </c>
      <c r="F4460" s="20">
        <v>5.76</v>
      </c>
      <c r="G4460" s="20"/>
      <c r="H4460" s="19"/>
      <c r="I4460" s="20"/>
      <c r="J4460" s="19">
        <v>2</v>
      </c>
      <c r="K4460" s="17"/>
      <c r="L4460" s="649">
        <f t="shared" ref="L4460:L4467" si="325">PRODUCT(C4460:K4460)</f>
        <v>6.9119999999999999</v>
      </c>
    </row>
    <row r="4461" spans="2:12" ht="15">
      <c r="B4461" s="769" t="s">
        <v>543</v>
      </c>
      <c r="C4461" s="20"/>
      <c r="D4461" s="20"/>
      <c r="E4461" s="19">
        <v>0.6</v>
      </c>
      <c r="F4461" s="20">
        <v>8.8000000000000007</v>
      </c>
      <c r="G4461" s="20"/>
      <c r="H4461" s="19"/>
      <c r="I4461" s="20"/>
      <c r="J4461" s="19">
        <v>2</v>
      </c>
      <c r="K4461" s="17"/>
      <c r="L4461" s="649">
        <f t="shared" si="325"/>
        <v>10.56</v>
      </c>
    </row>
    <row r="4462" spans="2:12" ht="15">
      <c r="B4462" s="769" t="s">
        <v>544</v>
      </c>
      <c r="C4462" s="20"/>
      <c r="D4462" s="20"/>
      <c r="E4462" s="19">
        <v>0.6</v>
      </c>
      <c r="F4462" s="20">
        <f>31.42+1.33</f>
        <v>32.75</v>
      </c>
      <c r="G4462" s="20"/>
      <c r="H4462" s="19"/>
      <c r="I4462" s="20"/>
      <c r="J4462" s="19">
        <v>2</v>
      </c>
      <c r="K4462" s="17"/>
      <c r="L4462" s="649">
        <f t="shared" si="325"/>
        <v>39.299999999999997</v>
      </c>
    </row>
    <row r="4463" spans="2:12" ht="15">
      <c r="B4463" s="769" t="s">
        <v>542</v>
      </c>
      <c r="C4463" s="20"/>
      <c r="D4463" s="20"/>
      <c r="E4463" s="19">
        <v>0.6</v>
      </c>
      <c r="F4463" s="20">
        <v>5.78</v>
      </c>
      <c r="G4463" s="20"/>
      <c r="H4463" s="19"/>
      <c r="I4463" s="20"/>
      <c r="J4463" s="19">
        <v>2</v>
      </c>
      <c r="K4463" s="17"/>
      <c r="L4463" s="649">
        <f t="shared" si="325"/>
        <v>6.9359999999999999</v>
      </c>
    </row>
    <row r="4464" spans="2:12" ht="15">
      <c r="B4464" s="769" t="s">
        <v>543</v>
      </c>
      <c r="C4464" s="20"/>
      <c r="D4464" s="20"/>
      <c r="E4464" s="19">
        <v>0.6</v>
      </c>
      <c r="F4464" s="20">
        <v>8.81</v>
      </c>
      <c r="G4464" s="20"/>
      <c r="H4464" s="19"/>
      <c r="I4464" s="20"/>
      <c r="J4464" s="19">
        <v>2</v>
      </c>
      <c r="K4464" s="17"/>
      <c r="L4464" s="649">
        <f t="shared" si="325"/>
        <v>10.572000000000001</v>
      </c>
    </row>
    <row r="4465" spans="2:12" ht="15">
      <c r="B4465" s="849" t="s">
        <v>853</v>
      </c>
      <c r="C4465" s="39"/>
      <c r="D4465" s="39"/>
      <c r="E4465" s="19">
        <v>0.6</v>
      </c>
      <c r="F4465" s="195"/>
      <c r="G4465" s="39"/>
      <c r="H4465" s="39"/>
      <c r="I4465" s="39"/>
      <c r="J4465" s="19">
        <v>2</v>
      </c>
      <c r="K4465" s="39"/>
      <c r="L4465" s="649">
        <f t="shared" si="325"/>
        <v>1.2</v>
      </c>
    </row>
    <row r="4466" spans="2:12" ht="15">
      <c r="B4466" s="849" t="s">
        <v>823</v>
      </c>
      <c r="C4466" s="20"/>
      <c r="D4466" s="20"/>
      <c r="E4466" s="19">
        <v>0.6</v>
      </c>
      <c r="F4466" s="47"/>
      <c r="G4466" s="20"/>
      <c r="H4466" s="19"/>
      <c r="I4466" s="20"/>
      <c r="J4466" s="19">
        <v>2</v>
      </c>
      <c r="K4466" s="17"/>
      <c r="L4466" s="649">
        <f t="shared" si="325"/>
        <v>1.2</v>
      </c>
    </row>
    <row r="4467" spans="2:12" ht="15">
      <c r="B4467" s="849" t="s">
        <v>854</v>
      </c>
      <c r="C4467" s="20"/>
      <c r="D4467" s="20"/>
      <c r="E4467" s="19">
        <v>0.6</v>
      </c>
      <c r="F4467" s="47"/>
      <c r="G4467" s="20"/>
      <c r="H4467" s="19"/>
      <c r="I4467" s="20"/>
      <c r="J4467" s="19">
        <v>2</v>
      </c>
      <c r="K4467" s="17"/>
      <c r="L4467" s="649">
        <f t="shared" si="325"/>
        <v>1.2</v>
      </c>
    </row>
    <row r="4468" spans="2:12" ht="15.75">
      <c r="B4468" s="770" t="s">
        <v>545</v>
      </c>
      <c r="C4468" s="20"/>
      <c r="D4468" s="20"/>
      <c r="E4468" s="19"/>
      <c r="F4468" s="20"/>
      <c r="G4468" s="20"/>
      <c r="H4468" s="19"/>
      <c r="I4468" s="20"/>
      <c r="J4468" s="19"/>
      <c r="K4468" s="17"/>
      <c r="L4468" s="649"/>
    </row>
    <row r="4469" spans="2:12" ht="15">
      <c r="B4469" s="769" t="s">
        <v>438</v>
      </c>
      <c r="C4469" s="20"/>
      <c r="D4469" s="20"/>
      <c r="E4469" s="39"/>
      <c r="F4469" s="39"/>
      <c r="G4469" s="20"/>
      <c r="H4469" s="19"/>
      <c r="I4469" s="20"/>
      <c r="J4469" s="19"/>
      <c r="K4469" s="17"/>
      <c r="L4469" s="649"/>
    </row>
    <row r="4470" spans="2:12" ht="15">
      <c r="B4470" s="769" t="s">
        <v>549</v>
      </c>
      <c r="C4470" s="20"/>
      <c r="D4470" s="20"/>
      <c r="E4470" s="19">
        <v>1</v>
      </c>
      <c r="F4470" s="20">
        <v>8.5</v>
      </c>
      <c r="G4470" s="20"/>
      <c r="H4470" s="19"/>
      <c r="I4470" s="20"/>
      <c r="J4470" s="19"/>
      <c r="K4470" s="17"/>
      <c r="L4470" s="649">
        <f t="shared" ref="L4470:L4486" si="326">PRODUCT(C4470:K4470)</f>
        <v>8.5</v>
      </c>
    </row>
    <row r="4471" spans="2:12" ht="15">
      <c r="B4471" s="769" t="s">
        <v>535</v>
      </c>
      <c r="C4471" s="20"/>
      <c r="D4471" s="20"/>
      <c r="E4471" s="19">
        <v>3</v>
      </c>
      <c r="F4471" s="20">
        <v>16.8</v>
      </c>
      <c r="G4471" s="20"/>
      <c r="H4471" s="19"/>
      <c r="I4471" s="20"/>
      <c r="J4471" s="19"/>
      <c r="K4471" s="17"/>
      <c r="L4471" s="649">
        <f t="shared" si="326"/>
        <v>50.400000000000006</v>
      </c>
    </row>
    <row r="4472" spans="2:12" ht="15">
      <c r="B4472" s="769" t="s">
        <v>526</v>
      </c>
      <c r="C4472" s="20">
        <v>-4</v>
      </c>
      <c r="D4472" s="20"/>
      <c r="E4472" s="19"/>
      <c r="F4472" s="20"/>
      <c r="G4472" s="20"/>
      <c r="H4472" s="19"/>
      <c r="I4472" s="20"/>
      <c r="J4472" s="19"/>
      <c r="K4472" s="17"/>
      <c r="L4472" s="649">
        <f t="shared" si="326"/>
        <v>-4</v>
      </c>
    </row>
    <row r="4473" spans="2:12" ht="15">
      <c r="B4473" s="769" t="s">
        <v>526</v>
      </c>
      <c r="C4473" s="20"/>
      <c r="D4473" s="20"/>
      <c r="E4473" s="19">
        <v>-1.3</v>
      </c>
      <c r="F4473" s="20">
        <v>2.4</v>
      </c>
      <c r="G4473" s="20"/>
      <c r="H4473" s="19"/>
      <c r="I4473" s="20"/>
      <c r="J4473" s="19">
        <v>2</v>
      </c>
      <c r="K4473" s="17"/>
      <c r="L4473" s="649">
        <f>PRODUCT(C4473:K4473)</f>
        <v>-6.24</v>
      </c>
    </row>
    <row r="4474" spans="2:12" ht="15">
      <c r="B4474" s="769"/>
      <c r="C4474" s="20"/>
      <c r="D4474" s="20"/>
      <c r="E4474" s="19"/>
      <c r="F4474" s="20"/>
      <c r="G4474" s="20"/>
      <c r="H4474" s="19"/>
      <c r="I4474" s="20"/>
      <c r="J4474" s="19"/>
      <c r="K4474" s="17"/>
      <c r="L4474" s="649"/>
    </row>
    <row r="4475" spans="2:12" ht="15">
      <c r="B4475" s="769"/>
      <c r="C4475" s="20"/>
      <c r="D4475" s="20"/>
      <c r="E4475" s="19"/>
      <c r="F4475" s="20"/>
      <c r="G4475" s="20"/>
      <c r="H4475" s="19"/>
      <c r="I4475" s="20"/>
      <c r="J4475" s="19"/>
      <c r="K4475" s="17"/>
      <c r="L4475" s="649"/>
    </row>
    <row r="4476" spans="2:12" ht="15">
      <c r="B4476" s="769" t="s">
        <v>547</v>
      </c>
      <c r="C4476" s="20"/>
      <c r="D4476" s="20"/>
      <c r="K4476" s="17"/>
      <c r="L4476" s="649"/>
    </row>
    <row r="4477" spans="2:12" ht="15">
      <c r="B4477" s="769" t="s">
        <v>549</v>
      </c>
      <c r="C4477" s="20"/>
      <c r="D4477" s="20"/>
      <c r="E4477" s="19">
        <v>1</v>
      </c>
      <c r="F4477" s="20">
        <v>8</v>
      </c>
      <c r="G4477" s="20"/>
      <c r="H4477" s="19"/>
      <c r="I4477" s="20"/>
      <c r="J4477" s="19">
        <v>2</v>
      </c>
      <c r="K4477" s="17"/>
      <c r="L4477" s="649">
        <f>PRODUCT(C4477:K4477)</f>
        <v>16</v>
      </c>
    </row>
    <row r="4478" spans="2:12" ht="15">
      <c r="B4478" s="769" t="s">
        <v>535</v>
      </c>
      <c r="C4478" s="20"/>
      <c r="D4478" s="20"/>
      <c r="E4478" s="19">
        <v>3</v>
      </c>
      <c r="F4478" s="20">
        <v>16.8</v>
      </c>
      <c r="G4478" s="20"/>
      <c r="H4478" s="19"/>
      <c r="I4478" s="20"/>
      <c r="J4478" s="19">
        <v>2</v>
      </c>
      <c r="K4478" s="17"/>
      <c r="L4478" s="649">
        <f t="shared" si="326"/>
        <v>100.80000000000001</v>
      </c>
    </row>
    <row r="4479" spans="2:12" ht="15">
      <c r="B4479" s="769" t="s">
        <v>526</v>
      </c>
      <c r="C4479" s="20"/>
      <c r="D4479" s="20"/>
      <c r="E4479" s="19">
        <v>-4</v>
      </c>
      <c r="F4479" s="20"/>
      <c r="G4479" s="20"/>
      <c r="H4479" s="19"/>
      <c r="I4479" s="20"/>
      <c r="J4479" s="19">
        <v>2</v>
      </c>
      <c r="K4479" s="17"/>
      <c r="L4479" s="649">
        <f>PRODUCT(C4479:K4479)</f>
        <v>-8</v>
      </c>
    </row>
    <row r="4480" spans="2:12" ht="15">
      <c r="B4480" s="769" t="s">
        <v>526</v>
      </c>
      <c r="C4480" s="20"/>
      <c r="D4480" s="20"/>
      <c r="E4480" s="19">
        <v>-1.3</v>
      </c>
      <c r="F4480" s="20">
        <v>2.4</v>
      </c>
      <c r="G4480" s="20"/>
      <c r="H4480" s="19"/>
      <c r="I4480" s="20"/>
      <c r="J4480" s="19">
        <v>4</v>
      </c>
      <c r="K4480" s="17"/>
      <c r="L4480" s="649">
        <f>PRODUCT(C4480:K4480)</f>
        <v>-12.48</v>
      </c>
    </row>
    <row r="4481" spans="2:12" ht="15">
      <c r="B4481" s="769"/>
      <c r="C4481" s="20"/>
      <c r="D4481" s="20"/>
      <c r="E4481" s="19"/>
      <c r="F4481" s="20"/>
      <c r="G4481" s="20"/>
      <c r="H4481" s="19"/>
      <c r="I4481" s="20"/>
      <c r="J4481" s="19"/>
      <c r="K4481" s="17"/>
      <c r="L4481" s="649"/>
    </row>
    <row r="4482" spans="2:12" ht="15">
      <c r="B4482" s="648"/>
      <c r="C4482" s="20"/>
      <c r="D4482" s="20"/>
      <c r="E4482" s="19"/>
      <c r="F4482" s="20"/>
      <c r="G4482" s="20"/>
      <c r="H4482" s="19"/>
      <c r="I4482" s="20"/>
      <c r="J4482" s="19"/>
      <c r="K4482" s="17"/>
      <c r="L4482" s="649"/>
    </row>
    <row r="4483" spans="2:12" ht="15">
      <c r="B4483" s="648" t="s">
        <v>528</v>
      </c>
      <c r="C4483" s="20"/>
      <c r="D4483" s="20"/>
      <c r="E4483" s="19">
        <v>2.8</v>
      </c>
      <c r="F4483" s="20">
        <v>14</v>
      </c>
      <c r="G4483" s="20"/>
      <c r="H4483" s="19"/>
      <c r="I4483" s="20"/>
      <c r="J4483" s="19">
        <v>2</v>
      </c>
      <c r="K4483" s="17"/>
      <c r="L4483" s="649">
        <f>PRODUCT(C4483:K4483)</f>
        <v>78.399999999999991</v>
      </c>
    </row>
    <row r="4484" spans="2:12" ht="15">
      <c r="B4484" s="648" t="s">
        <v>529</v>
      </c>
      <c r="C4484" s="20"/>
      <c r="D4484" s="20"/>
      <c r="E4484" s="19">
        <v>2.8</v>
      </c>
      <c r="F4484" s="20">
        <v>14</v>
      </c>
      <c r="G4484" s="20"/>
      <c r="H4484" s="19"/>
      <c r="I4484" s="20"/>
      <c r="J4484" s="19"/>
      <c r="K4484" s="17"/>
      <c r="L4484" s="649">
        <f t="shared" si="326"/>
        <v>39.199999999999996</v>
      </c>
    </row>
    <row r="4485" spans="2:12" ht="15">
      <c r="B4485" s="648" t="s">
        <v>530</v>
      </c>
      <c r="C4485" s="20"/>
      <c r="D4485" s="20"/>
      <c r="E4485" s="19">
        <v>2.8</v>
      </c>
      <c r="F4485" s="20">
        <v>14</v>
      </c>
      <c r="G4485" s="20"/>
      <c r="H4485" s="19"/>
      <c r="I4485" s="20"/>
      <c r="J4485" s="19"/>
      <c r="K4485" s="17"/>
      <c r="L4485" s="649">
        <f t="shared" si="326"/>
        <v>39.199999999999996</v>
      </c>
    </row>
    <row r="4486" spans="2:12" ht="15">
      <c r="B4486" s="648" t="s">
        <v>526</v>
      </c>
      <c r="C4486" s="20">
        <v>6</v>
      </c>
      <c r="D4486" s="20"/>
      <c r="E4486" s="19"/>
      <c r="F4486" s="20"/>
      <c r="G4486" s="20"/>
      <c r="H4486" s="19"/>
      <c r="I4486" s="20"/>
      <c r="J4486" s="19">
        <v>4</v>
      </c>
      <c r="K4486" s="17"/>
      <c r="L4486" s="649">
        <f t="shared" si="326"/>
        <v>24</v>
      </c>
    </row>
    <row r="4487" spans="2:12" ht="15">
      <c r="B4487" s="650"/>
      <c r="C4487" s="20"/>
      <c r="D4487" s="20"/>
      <c r="E4487" s="20"/>
      <c r="F4487" s="20"/>
      <c r="G4487" s="20"/>
      <c r="H4487" s="19"/>
      <c r="I4487" s="20"/>
      <c r="J4487" s="19"/>
      <c r="K4487" s="17"/>
      <c r="L4487" s="649"/>
    </row>
    <row r="4488" spans="2:12" ht="15.75">
      <c r="B4488" s="981"/>
      <c r="C4488" s="982"/>
      <c r="D4488" s="982"/>
      <c r="E4488" s="982"/>
      <c r="F4488" s="982"/>
      <c r="G4488" s="982"/>
      <c r="H4488" s="982"/>
      <c r="I4488" s="982"/>
      <c r="J4488" s="982"/>
      <c r="K4488" s="982"/>
      <c r="L4488" s="983"/>
    </row>
    <row r="4489" spans="2:12">
      <c r="B4489" s="651"/>
      <c r="L4489" s="652"/>
    </row>
    <row r="4490" spans="2:12" ht="15.6" customHeight="1">
      <c r="B4490" s="638" t="s">
        <v>398</v>
      </c>
      <c r="C4490" s="8">
        <v>9</v>
      </c>
      <c r="D4490" s="1008" t="s">
        <v>1032</v>
      </c>
      <c r="E4490" s="1009"/>
      <c r="F4490" s="1009"/>
      <c r="G4490" s="1009"/>
      <c r="H4490" s="1009"/>
      <c r="I4490" s="1009"/>
      <c r="J4490" s="1009"/>
      <c r="K4490" s="1009"/>
      <c r="L4490" s="1010"/>
    </row>
    <row r="4491" spans="2:12" ht="15">
      <c r="B4491" s="640"/>
      <c r="C4491" s="579"/>
      <c r="D4491" s="579"/>
      <c r="E4491" s="579"/>
      <c r="F4491" s="579"/>
      <c r="G4491" s="579"/>
      <c r="H4491" s="579"/>
      <c r="I4491" s="579"/>
      <c r="J4491" s="579"/>
      <c r="K4491" s="579"/>
      <c r="L4491" s="641"/>
    </row>
    <row r="4492" spans="2:12" ht="31.5">
      <c r="B4492" s="646" t="s">
        <v>399</v>
      </c>
      <c r="C4492" s="25">
        <f>+'PROPUESTA ECONOMICA(Proponente)'!C534</f>
        <v>9.8000000000000007</v>
      </c>
      <c r="D4492" s="12" t="str">
        <f>+VLOOKUP('MEMORIAS DE CANTIDADES'!C4492,'PROPUESTA ECONOMICA(Proponente)'!$C$379:$H$661,5,FALSE)</f>
        <v>Pintura en Vinilo tipo Koraza o similar para exterior, dos manos, incluye suministro.</v>
      </c>
      <c r="E4492" s="13"/>
      <c r="F4492" s="12"/>
      <c r="G4492" s="12"/>
      <c r="H4492" s="12"/>
      <c r="I4492" s="11" t="s">
        <v>400</v>
      </c>
      <c r="J4492" s="12" t="str">
        <f>+VLOOKUP('MEMORIAS DE CANTIDADES'!C4492,'PROPUESTA ECONOMICA(Proponente)'!$C$379:$H$661,6,FALSE)</f>
        <v>m2</v>
      </c>
      <c r="K4492" s="11" t="s">
        <v>401</v>
      </c>
      <c r="L4492" s="643">
        <f>SUM(L4493:L4532)</f>
        <v>3355.79</v>
      </c>
    </row>
    <row r="4493" spans="2:12" ht="15">
      <c r="B4493" s="644"/>
      <c r="C4493" s="16"/>
      <c r="D4493" s="15"/>
      <c r="E4493" s="15"/>
      <c r="F4493" s="15"/>
      <c r="G4493" s="15"/>
      <c r="H4493" s="15"/>
      <c r="I4493" s="15"/>
      <c r="J4493" s="15"/>
      <c r="K4493" s="17"/>
      <c r="L4493" s="645"/>
    </row>
    <row r="4494" spans="2:12" ht="47.25">
      <c r="B4494" s="646" t="s">
        <v>402</v>
      </c>
      <c r="C4494" s="18" t="s">
        <v>403</v>
      </c>
      <c r="D4494" s="18" t="s">
        <v>404</v>
      </c>
      <c r="E4494" s="18" t="s">
        <v>405</v>
      </c>
      <c r="F4494" s="18" t="s">
        <v>406</v>
      </c>
      <c r="G4494" s="18" t="s">
        <v>407</v>
      </c>
      <c r="H4494" s="5" t="s">
        <v>408</v>
      </c>
      <c r="I4494" s="18" t="s">
        <v>409</v>
      </c>
      <c r="J4494" s="5" t="s">
        <v>410</v>
      </c>
      <c r="K4494" s="5" t="s">
        <v>411</v>
      </c>
      <c r="L4494" s="647" t="s">
        <v>412</v>
      </c>
    </row>
    <row r="4495" spans="2:12" ht="15.75">
      <c r="B4495" s="759" t="s">
        <v>580</v>
      </c>
      <c r="C4495" s="19"/>
      <c r="D4495" s="19"/>
      <c r="E4495" s="19">
        <v>3.5</v>
      </c>
      <c r="F4495" s="19">
        <v>34</v>
      </c>
      <c r="G4495" s="20"/>
      <c r="H4495" s="68"/>
      <c r="I4495" s="17"/>
      <c r="J4495" s="28">
        <v>2</v>
      </c>
      <c r="K4495" s="17"/>
      <c r="L4495" s="649">
        <f>PRODUCT(C4495:K4495)</f>
        <v>238</v>
      </c>
    </row>
    <row r="4496" spans="2:12" ht="15">
      <c r="B4496" s="769" t="s">
        <v>588</v>
      </c>
      <c r="C4496" s="20"/>
      <c r="D4496" s="19"/>
      <c r="E4496" s="19">
        <v>3.5</v>
      </c>
      <c r="F4496" s="19">
        <v>34</v>
      </c>
      <c r="G4496" s="20"/>
      <c r="H4496" s="68"/>
      <c r="I4496" s="17"/>
      <c r="J4496" s="69">
        <v>2</v>
      </c>
      <c r="K4496" s="17"/>
      <c r="L4496" s="649">
        <f>PRODUCT(C4496:K4496)</f>
        <v>238</v>
      </c>
    </row>
    <row r="4497" spans="2:12" ht="15">
      <c r="B4497" s="769" t="s">
        <v>589</v>
      </c>
      <c r="C4497" s="20"/>
      <c r="D4497" s="19"/>
      <c r="E4497" s="19">
        <v>0.6</v>
      </c>
      <c r="F4497" s="19">
        <v>34</v>
      </c>
      <c r="G4497" s="20"/>
      <c r="H4497" s="68"/>
      <c r="I4497" s="17"/>
      <c r="J4497" s="69">
        <v>2</v>
      </c>
      <c r="K4497" s="17"/>
      <c r="L4497" s="649">
        <f>PRODUCT(C4497:K4497)</f>
        <v>40.799999999999997</v>
      </c>
    </row>
    <row r="4498" spans="2:12" ht="15">
      <c r="B4498" s="769"/>
      <c r="C4498" s="20"/>
      <c r="D4498" s="19"/>
      <c r="E4498" s="19">
        <v>0.6</v>
      </c>
      <c r="F4498" s="19">
        <v>34</v>
      </c>
      <c r="G4498" s="20"/>
      <c r="H4498" s="68"/>
      <c r="I4498" s="17"/>
      <c r="J4498" s="69">
        <v>2</v>
      </c>
      <c r="K4498" s="17"/>
      <c r="L4498" s="649">
        <f t="shared" ref="L4498:L4500" si="327">PRODUCT(C4498:K4498)</f>
        <v>40.799999999999997</v>
      </c>
    </row>
    <row r="4499" spans="2:12" ht="15">
      <c r="B4499" s="769" t="s">
        <v>542</v>
      </c>
      <c r="C4499" s="20"/>
      <c r="D4499" s="20"/>
      <c r="E4499" s="19">
        <v>0.6</v>
      </c>
      <c r="F4499" s="19">
        <v>5.76</v>
      </c>
      <c r="G4499" s="20"/>
      <c r="H4499" s="68"/>
      <c r="I4499" s="17"/>
      <c r="J4499" s="69">
        <v>2</v>
      </c>
      <c r="K4499" s="17"/>
      <c r="L4499" s="649">
        <f t="shared" si="327"/>
        <v>6.9119999999999999</v>
      </c>
    </row>
    <row r="4500" spans="2:12" ht="15">
      <c r="B4500" s="769" t="s">
        <v>543</v>
      </c>
      <c r="C4500" s="20"/>
      <c r="D4500" s="20"/>
      <c r="E4500" s="19">
        <v>0.6</v>
      </c>
      <c r="F4500" s="19">
        <v>8.8000000000000007</v>
      </c>
      <c r="G4500" s="20"/>
      <c r="H4500" s="68"/>
      <c r="I4500" s="17"/>
      <c r="J4500" s="69">
        <v>2</v>
      </c>
      <c r="K4500" s="17"/>
      <c r="L4500" s="649">
        <f t="shared" si="327"/>
        <v>10.56</v>
      </c>
    </row>
    <row r="4501" spans="2:12" ht="15">
      <c r="B4501" s="769" t="s">
        <v>542</v>
      </c>
      <c r="C4501" s="20"/>
      <c r="D4501" s="20"/>
      <c r="E4501" s="19">
        <v>0.6</v>
      </c>
      <c r="F4501" s="20">
        <v>5.78</v>
      </c>
      <c r="G4501" s="20"/>
      <c r="H4501" s="68"/>
      <c r="I4501" s="17"/>
      <c r="J4501" s="69">
        <v>2</v>
      </c>
      <c r="K4501" s="17"/>
      <c r="L4501" s="649">
        <f>PRODUCT(C4501:K4501)</f>
        <v>6.9359999999999999</v>
      </c>
    </row>
    <row r="4502" spans="2:12" ht="15">
      <c r="B4502" s="769" t="s">
        <v>543</v>
      </c>
      <c r="C4502" s="20"/>
      <c r="D4502" s="20"/>
      <c r="E4502" s="19">
        <v>0.6</v>
      </c>
      <c r="F4502" s="20">
        <v>8.81</v>
      </c>
      <c r="G4502" s="20"/>
      <c r="H4502" s="68"/>
      <c r="I4502" s="17"/>
      <c r="J4502" s="69">
        <v>2</v>
      </c>
      <c r="K4502" s="17"/>
      <c r="L4502" s="649">
        <f>PRODUCT(C4502:K4502)</f>
        <v>10.572000000000001</v>
      </c>
    </row>
    <row r="4503" spans="2:12" ht="15">
      <c r="B4503" s="751" t="s">
        <v>853</v>
      </c>
      <c r="C4503" s="39"/>
      <c r="D4503" s="39"/>
      <c r="E4503" s="19">
        <v>3.5</v>
      </c>
      <c r="F4503" s="19">
        <v>22</v>
      </c>
      <c r="G4503" s="39"/>
      <c r="H4503" s="39"/>
      <c r="I4503" s="39"/>
      <c r="J4503" s="39">
        <v>2</v>
      </c>
      <c r="K4503" s="39"/>
      <c r="L4503" s="649">
        <f>PRODUCT(C4503:K4503)</f>
        <v>154</v>
      </c>
    </row>
    <row r="4504" spans="2:12" ht="15">
      <c r="B4504" s="751" t="s">
        <v>823</v>
      </c>
      <c r="C4504" s="20"/>
      <c r="D4504" s="19"/>
      <c r="E4504" s="19">
        <v>3.5</v>
      </c>
      <c r="F4504" s="19">
        <v>30</v>
      </c>
      <c r="G4504" s="20"/>
      <c r="H4504" s="68"/>
      <c r="I4504" s="17"/>
      <c r="J4504" s="69">
        <v>2</v>
      </c>
      <c r="K4504" s="17"/>
      <c r="L4504" s="649">
        <f t="shared" ref="L4504:L4505" si="328">PRODUCT(C4504:K4504)</f>
        <v>210</v>
      </c>
    </row>
    <row r="4505" spans="2:12" ht="15">
      <c r="B4505" s="751" t="s">
        <v>854</v>
      </c>
      <c r="C4505" s="20"/>
      <c r="D4505" s="20"/>
      <c r="E4505" s="19">
        <v>3.5</v>
      </c>
      <c r="F4505" s="19">
        <v>30</v>
      </c>
      <c r="G4505" s="20"/>
      <c r="H4505" s="19"/>
      <c r="I4505" s="20"/>
      <c r="J4505" s="19">
        <v>2</v>
      </c>
      <c r="K4505" s="17"/>
      <c r="L4505" s="649">
        <f t="shared" si="328"/>
        <v>210</v>
      </c>
    </row>
    <row r="4506" spans="2:12" ht="15.75">
      <c r="B4506" s="770" t="s">
        <v>545</v>
      </c>
      <c r="C4506" s="20"/>
      <c r="D4506" s="20"/>
      <c r="E4506" s="19"/>
      <c r="F4506" s="20"/>
      <c r="G4506" s="20"/>
      <c r="H4506" s="19"/>
      <c r="I4506" s="20"/>
      <c r="J4506" s="19"/>
      <c r="K4506" s="17"/>
      <c r="L4506" s="649"/>
    </row>
    <row r="4507" spans="2:12" ht="15">
      <c r="B4507" s="769" t="s">
        <v>438</v>
      </c>
      <c r="C4507" s="20"/>
      <c r="D4507" s="20"/>
      <c r="E4507" s="39"/>
      <c r="F4507" s="39"/>
      <c r="G4507" s="20"/>
      <c r="H4507" s="19"/>
      <c r="I4507" s="20"/>
      <c r="J4507" s="19"/>
      <c r="K4507" s="17"/>
      <c r="L4507" s="649"/>
    </row>
    <row r="4508" spans="2:12" ht="15">
      <c r="B4508" s="769" t="s">
        <v>535</v>
      </c>
      <c r="C4508" s="20"/>
      <c r="D4508" s="20"/>
      <c r="E4508" s="19">
        <v>3.5</v>
      </c>
      <c r="F4508" s="20">
        <v>18.3</v>
      </c>
      <c r="G4508" s="20"/>
      <c r="H4508" s="19"/>
      <c r="I4508" s="20"/>
      <c r="J4508" s="19"/>
      <c r="K4508" s="17"/>
      <c r="L4508" s="649">
        <f t="shared" ref="L4508:L4511" si="329">PRODUCT(C4508:K4508)</f>
        <v>64.05</v>
      </c>
    </row>
    <row r="4509" spans="2:12" ht="15">
      <c r="B4509" s="769" t="s">
        <v>526</v>
      </c>
      <c r="C4509" s="20">
        <v>2</v>
      </c>
      <c r="D4509" s="20"/>
      <c r="E4509" s="19"/>
      <c r="F4509" s="20"/>
      <c r="G4509" s="20"/>
      <c r="H4509" s="19"/>
      <c r="I4509" s="20"/>
      <c r="J4509" s="19"/>
      <c r="K4509" s="17"/>
      <c r="L4509" s="649">
        <f t="shared" si="329"/>
        <v>2</v>
      </c>
    </row>
    <row r="4510" spans="2:12" ht="15">
      <c r="B4510" s="769" t="s">
        <v>526</v>
      </c>
      <c r="C4510" s="20"/>
      <c r="D4510" s="20"/>
      <c r="E4510" s="19">
        <v>-1.3</v>
      </c>
      <c r="F4510" s="20">
        <v>2.4</v>
      </c>
      <c r="G4510" s="20"/>
      <c r="H4510" s="19"/>
      <c r="I4510" s="20"/>
      <c r="J4510" s="19">
        <v>2</v>
      </c>
      <c r="K4510" s="17"/>
      <c r="L4510" s="649">
        <f>PRODUCT(C4510:K4510)</f>
        <v>-6.24</v>
      </c>
    </row>
    <row r="4511" spans="2:12" ht="15">
      <c r="B4511" s="769" t="s">
        <v>550</v>
      </c>
      <c r="C4511" s="20">
        <v>276.29000000000002</v>
      </c>
      <c r="D4511" s="20"/>
      <c r="E4511" s="19"/>
      <c r="F4511" s="20"/>
      <c r="G4511" s="20"/>
      <c r="H4511" s="19"/>
      <c r="I4511" s="20"/>
      <c r="J4511" s="19"/>
      <c r="K4511" s="17"/>
      <c r="L4511" s="649">
        <f t="shared" si="329"/>
        <v>276.29000000000002</v>
      </c>
    </row>
    <row r="4512" spans="2:12" ht="15">
      <c r="B4512" s="769"/>
      <c r="C4512" s="20"/>
      <c r="D4512" s="20"/>
      <c r="E4512" s="19"/>
      <c r="F4512" s="20"/>
      <c r="G4512" s="20"/>
      <c r="H4512" s="19"/>
      <c r="I4512" s="20"/>
      <c r="J4512" s="19"/>
      <c r="K4512" s="17"/>
      <c r="L4512" s="649"/>
    </row>
    <row r="4513" spans="2:12" ht="15">
      <c r="B4513" s="769" t="s">
        <v>547</v>
      </c>
      <c r="C4513" s="20"/>
      <c r="D4513" s="20"/>
      <c r="K4513" s="17"/>
      <c r="L4513" s="649"/>
    </row>
    <row r="4514" spans="2:12" ht="15">
      <c r="B4514" s="769" t="s">
        <v>535</v>
      </c>
      <c r="C4514" s="20"/>
      <c r="D4514" s="20"/>
      <c r="E4514" s="19">
        <v>3</v>
      </c>
      <c r="F4514" s="20">
        <v>13.7</v>
      </c>
      <c r="G4514" s="20"/>
      <c r="H4514" s="19"/>
      <c r="I4514" s="20"/>
      <c r="J4514" s="19">
        <v>2</v>
      </c>
      <c r="K4514" s="17"/>
      <c r="L4514" s="649">
        <f t="shared" ref="L4514:L4517" si="330">PRODUCT(C4514:K4514)</f>
        <v>82.199999999999989</v>
      </c>
    </row>
    <row r="4515" spans="2:12" ht="15">
      <c r="B4515" s="769" t="s">
        <v>526</v>
      </c>
      <c r="C4515" s="20">
        <v>2</v>
      </c>
      <c r="D4515" s="20"/>
      <c r="E4515" s="19"/>
      <c r="F4515" s="20"/>
      <c r="G4515" s="20"/>
      <c r="H4515" s="19"/>
      <c r="I4515" s="20"/>
      <c r="J4515" s="19">
        <v>1</v>
      </c>
      <c r="K4515" s="17"/>
      <c r="L4515" s="649">
        <f>PRODUCT(C4515:K4515)</f>
        <v>2</v>
      </c>
    </row>
    <row r="4516" spans="2:12" ht="15">
      <c r="B4516" s="769" t="s">
        <v>526</v>
      </c>
      <c r="C4516" s="20"/>
      <c r="D4516" s="20"/>
      <c r="E4516" s="19">
        <v>-1.3</v>
      </c>
      <c r="F4516" s="20">
        <v>2.4</v>
      </c>
      <c r="G4516" s="20"/>
      <c r="H4516" s="19"/>
      <c r="I4516" s="20"/>
      <c r="J4516" s="19">
        <v>4</v>
      </c>
      <c r="K4516" s="17"/>
      <c r="L4516" s="649">
        <f>PRODUCT(C4516:K4516)</f>
        <v>-12.48</v>
      </c>
    </row>
    <row r="4517" spans="2:12" ht="15">
      <c r="B4517" s="769" t="s">
        <v>550</v>
      </c>
      <c r="C4517" s="20">
        <v>165.6</v>
      </c>
      <c r="D4517" s="20"/>
      <c r="E4517" s="19"/>
      <c r="F4517" s="20"/>
      <c r="G4517" s="20"/>
      <c r="H4517" s="19"/>
      <c r="I4517" s="20"/>
      <c r="J4517" s="19">
        <v>2</v>
      </c>
      <c r="K4517" s="17"/>
      <c r="L4517" s="649">
        <f t="shared" si="330"/>
        <v>331.2</v>
      </c>
    </row>
    <row r="4518" spans="2:12" ht="15">
      <c r="B4518" s="650"/>
      <c r="C4518" s="20"/>
      <c r="D4518" s="20"/>
      <c r="E4518" s="19"/>
      <c r="F4518" s="20"/>
      <c r="G4518" s="20"/>
      <c r="H4518" s="19"/>
      <c r="I4518" s="20"/>
      <c r="J4518" s="19"/>
      <c r="K4518" s="17"/>
      <c r="L4518" s="649"/>
    </row>
    <row r="4519" spans="2:12" ht="15">
      <c r="B4519" s="648"/>
      <c r="C4519" s="20"/>
      <c r="D4519" s="20"/>
      <c r="E4519" s="19"/>
      <c r="F4519" s="20"/>
      <c r="G4519" s="20"/>
      <c r="H4519" s="19"/>
      <c r="I4519" s="20"/>
      <c r="J4519" s="19"/>
      <c r="K4519" s="17"/>
      <c r="L4519" s="649"/>
    </row>
    <row r="4520" spans="2:12" ht="15">
      <c r="B4520" s="648" t="s">
        <v>528</v>
      </c>
      <c r="C4520" s="20"/>
      <c r="D4520" s="20"/>
      <c r="E4520" s="19">
        <v>3</v>
      </c>
      <c r="F4520" s="20">
        <v>14</v>
      </c>
      <c r="G4520" s="20"/>
      <c r="H4520" s="19"/>
      <c r="I4520" s="20"/>
      <c r="J4520" s="19">
        <v>2</v>
      </c>
      <c r="K4520" s="17"/>
      <c r="L4520" s="649">
        <f>PRODUCT(C4520:K4520)</f>
        <v>84</v>
      </c>
    </row>
    <row r="4521" spans="2:12" ht="15">
      <c r="B4521" s="648" t="s">
        <v>529</v>
      </c>
      <c r="C4521" s="20"/>
      <c r="D4521" s="20"/>
      <c r="E4521" s="19">
        <v>3</v>
      </c>
      <c r="F4521" s="20">
        <v>14</v>
      </c>
      <c r="G4521" s="20"/>
      <c r="H4521" s="19"/>
      <c r="I4521" s="20"/>
      <c r="J4521" s="19"/>
      <c r="K4521" s="17"/>
      <c r="L4521" s="649">
        <f t="shared" ref="L4521:L4530" si="331">PRODUCT(C4521:K4521)</f>
        <v>42</v>
      </c>
    </row>
    <row r="4522" spans="2:12" ht="15">
      <c r="B4522" s="648" t="s">
        <v>530</v>
      </c>
      <c r="C4522" s="20"/>
      <c r="D4522" s="20"/>
      <c r="E4522" s="19">
        <v>3</v>
      </c>
      <c r="F4522" s="20">
        <v>14</v>
      </c>
      <c r="G4522" s="20"/>
      <c r="H4522" s="19"/>
      <c r="I4522" s="20"/>
      <c r="J4522" s="19"/>
      <c r="K4522" s="17"/>
      <c r="L4522" s="649">
        <f t="shared" si="331"/>
        <v>42</v>
      </c>
    </row>
    <row r="4523" spans="2:12" ht="15">
      <c r="B4523" s="648" t="s">
        <v>526</v>
      </c>
      <c r="C4523" s="20">
        <v>-6</v>
      </c>
      <c r="D4523" s="20"/>
      <c r="E4523" s="19"/>
      <c r="F4523" s="20"/>
      <c r="G4523" s="20"/>
      <c r="H4523" s="19"/>
      <c r="I4523" s="20"/>
      <c r="J4523" s="19">
        <v>4</v>
      </c>
      <c r="K4523" s="17"/>
      <c r="L4523" s="649">
        <f t="shared" si="331"/>
        <v>-24</v>
      </c>
    </row>
    <row r="4524" spans="2:12" ht="15">
      <c r="B4524" s="648"/>
      <c r="C4524" s="20"/>
      <c r="D4524" s="20"/>
      <c r="E4524" s="19"/>
      <c r="F4524" s="20"/>
      <c r="G4524" s="20"/>
      <c r="H4524" s="19"/>
      <c r="I4524" s="20"/>
      <c r="J4524" s="19"/>
      <c r="K4524" s="17"/>
      <c r="L4524" s="649"/>
    </row>
    <row r="4525" spans="2:12" ht="30">
      <c r="B4525" s="648" t="s">
        <v>551</v>
      </c>
      <c r="C4525" s="20"/>
      <c r="D4525" s="20"/>
      <c r="E4525" s="19">
        <v>0.5</v>
      </c>
      <c r="F4525" s="20">
        <f>109.7+97.67+107+238.7</f>
        <v>553.06999999999994</v>
      </c>
      <c r="G4525" s="20"/>
      <c r="H4525" s="19"/>
      <c r="I4525" s="20"/>
      <c r="J4525" s="19">
        <v>2</v>
      </c>
      <c r="K4525" s="17"/>
      <c r="L4525" s="649">
        <f t="shared" si="331"/>
        <v>553.06999999999994</v>
      </c>
    </row>
    <row r="4526" spans="2:12" ht="15">
      <c r="B4526" s="648"/>
      <c r="C4526" s="20"/>
      <c r="D4526" s="20"/>
      <c r="E4526" s="19"/>
      <c r="F4526" s="20"/>
      <c r="G4526" s="20"/>
      <c r="H4526" s="19"/>
      <c r="I4526" s="20"/>
      <c r="J4526" s="19"/>
      <c r="K4526" s="17"/>
      <c r="L4526" s="649"/>
    </row>
    <row r="4527" spans="2:12" ht="15">
      <c r="B4527" s="648" t="s">
        <v>552</v>
      </c>
      <c r="C4527" s="20"/>
      <c r="D4527" s="20"/>
      <c r="E4527" s="19">
        <v>0.8</v>
      </c>
      <c r="F4527" s="20">
        <v>240.6</v>
      </c>
      <c r="G4527" s="20"/>
      <c r="H4527" s="19"/>
      <c r="I4527" s="20"/>
      <c r="J4527" s="19">
        <v>2</v>
      </c>
      <c r="K4527" s="17"/>
      <c r="L4527" s="649">
        <f t="shared" si="331"/>
        <v>384.96000000000004</v>
      </c>
    </row>
    <row r="4528" spans="2:12" ht="15">
      <c r="B4528" s="648" t="s">
        <v>553</v>
      </c>
      <c r="C4528" s="20"/>
      <c r="D4528" s="20"/>
      <c r="E4528" s="19">
        <v>0.8</v>
      </c>
      <c r="F4528" s="20">
        <v>217.6</v>
      </c>
      <c r="G4528" s="20"/>
      <c r="H4528" s="19"/>
      <c r="I4528" s="20"/>
      <c r="J4528" s="19">
        <v>2</v>
      </c>
      <c r="K4528" s="17"/>
      <c r="L4528" s="649">
        <f t="shared" si="331"/>
        <v>348.16</v>
      </c>
    </row>
    <row r="4529" spans="2:12" ht="15">
      <c r="B4529" s="648"/>
      <c r="C4529" s="20"/>
      <c r="D4529" s="20"/>
      <c r="E4529" s="19"/>
      <c r="F4529" s="20"/>
      <c r="G4529" s="20"/>
      <c r="H4529" s="19"/>
      <c r="I4529" s="20"/>
      <c r="J4529" s="19"/>
      <c r="K4529" s="17"/>
      <c r="L4529" s="649"/>
    </row>
    <row r="4530" spans="2:12" ht="15">
      <c r="B4530" s="648" t="s">
        <v>554</v>
      </c>
      <c r="C4530" s="20">
        <v>20</v>
      </c>
      <c r="D4530" s="20"/>
      <c r="E4530" s="19"/>
      <c r="F4530" s="20"/>
      <c r="G4530" s="20"/>
      <c r="H4530" s="19"/>
      <c r="I4530" s="20"/>
      <c r="J4530" s="19"/>
      <c r="K4530" s="17"/>
      <c r="L4530" s="649">
        <f t="shared" si="331"/>
        <v>20</v>
      </c>
    </row>
    <row r="4531" spans="2:12" ht="15">
      <c r="B4531" s="650"/>
      <c r="C4531" s="20"/>
      <c r="D4531" s="20"/>
      <c r="E4531" s="20"/>
      <c r="F4531" s="20"/>
      <c r="G4531" s="20"/>
      <c r="H4531" s="19"/>
      <c r="I4531" s="20"/>
      <c r="J4531" s="19"/>
      <c r="K4531" s="17"/>
      <c r="L4531" s="649"/>
    </row>
    <row r="4532" spans="2:12" ht="15.75">
      <c r="B4532" s="981"/>
      <c r="C4532" s="982"/>
      <c r="D4532" s="982"/>
      <c r="E4532" s="982"/>
      <c r="F4532" s="982"/>
      <c r="G4532" s="982"/>
      <c r="H4532" s="982"/>
      <c r="I4532" s="982"/>
      <c r="J4532" s="982"/>
      <c r="K4532" s="982"/>
      <c r="L4532" s="983"/>
    </row>
    <row r="4533" spans="2:12" ht="15.75">
      <c r="B4533" s="756"/>
      <c r="C4533" s="757"/>
      <c r="D4533" s="757"/>
      <c r="E4533" s="757"/>
      <c r="F4533" s="757"/>
      <c r="G4533" s="757"/>
      <c r="H4533" s="757"/>
      <c r="I4533" s="757"/>
      <c r="J4533" s="757"/>
      <c r="K4533" s="757"/>
      <c r="L4533" s="758"/>
    </row>
    <row r="4534" spans="2:12" ht="15.6" customHeight="1">
      <c r="B4534" s="638" t="s">
        <v>398</v>
      </c>
      <c r="C4534" s="8">
        <v>9</v>
      </c>
      <c r="D4534" s="1008" t="s">
        <v>1032</v>
      </c>
      <c r="E4534" s="1009"/>
      <c r="F4534" s="1009"/>
      <c r="G4534" s="1009"/>
      <c r="H4534" s="1009"/>
      <c r="I4534" s="1009"/>
      <c r="J4534" s="1009"/>
      <c r="K4534" s="1009"/>
      <c r="L4534" s="1010"/>
    </row>
    <row r="4535" spans="2:12" ht="15">
      <c r="B4535" s="640"/>
      <c r="C4535" s="579"/>
      <c r="D4535" s="579"/>
      <c r="E4535" s="579"/>
      <c r="F4535" s="579"/>
      <c r="G4535" s="579"/>
      <c r="H4535" s="579"/>
      <c r="I4535" s="579"/>
      <c r="J4535" s="579"/>
      <c r="K4535" s="579"/>
      <c r="L4535" s="641"/>
    </row>
    <row r="4536" spans="2:12" ht="47.25">
      <c r="B4536" s="642" t="s">
        <v>399</v>
      </c>
      <c r="C4536" s="25">
        <f>+'PROPUESTA ECONOMICA(Proponente)'!C535</f>
        <v>9.9</v>
      </c>
      <c r="D4536" s="12" t="str">
        <f>+VLOOKUP('MEMORIAS DE CANTIDADES'!C4536,'PROPUESTA ECONOMICA(Proponente)'!$C$379:$H$661,5,FALSE)</f>
        <v xml:space="preserve">Suministro e instalación de Cielo Raso en superboard 6 mm incluye pintura en vinilo tipo I y estructura. </v>
      </c>
      <c r="E4536" s="13"/>
      <c r="F4536" s="12"/>
      <c r="G4536" s="12"/>
      <c r="H4536" s="12"/>
      <c r="I4536" s="11" t="s">
        <v>400</v>
      </c>
      <c r="J4536" s="12" t="str">
        <f>+VLOOKUP('MEMORIAS DE CANTIDADES'!C4536,'PROPUESTA ECONOMICA(Proponente)'!$C$379:$H$661,6,FALSE)</f>
        <v>m2</v>
      </c>
      <c r="K4536" s="11" t="s">
        <v>401</v>
      </c>
      <c r="L4536" s="643">
        <f>SUM(L4537:L4565)</f>
        <v>759.12</v>
      </c>
    </row>
    <row r="4537" spans="2:12" ht="15">
      <c r="B4537" s="644"/>
      <c r="C4537" s="16"/>
      <c r="D4537" s="15"/>
      <c r="E4537" s="15"/>
      <c r="F4537" s="15"/>
      <c r="G4537" s="15"/>
      <c r="H4537" s="15"/>
      <c r="I4537" s="15"/>
      <c r="J4537" s="15"/>
      <c r="K4537" s="17"/>
      <c r="L4537" s="645"/>
    </row>
    <row r="4538" spans="2:12" ht="47.25">
      <c r="B4538" s="646" t="s">
        <v>402</v>
      </c>
      <c r="C4538" s="18" t="s">
        <v>403</v>
      </c>
      <c r="D4538" s="18" t="s">
        <v>404</v>
      </c>
      <c r="E4538" s="18" t="s">
        <v>405</v>
      </c>
      <c r="F4538" s="18" t="s">
        <v>406</v>
      </c>
      <c r="G4538" s="18" t="s">
        <v>407</v>
      </c>
      <c r="H4538" s="5" t="s">
        <v>408</v>
      </c>
      <c r="I4538" s="18" t="s">
        <v>409</v>
      </c>
      <c r="J4538" s="5" t="s">
        <v>410</v>
      </c>
      <c r="K4538" s="5" t="s">
        <v>411</v>
      </c>
      <c r="L4538" s="647" t="s">
        <v>412</v>
      </c>
    </row>
    <row r="4539" spans="2:12" ht="15.75">
      <c r="B4539" s="759" t="s">
        <v>580</v>
      </c>
      <c r="C4539" s="19"/>
      <c r="D4539" s="19"/>
      <c r="E4539" s="19"/>
      <c r="F4539" s="19"/>
      <c r="G4539" s="20"/>
      <c r="H4539" s="68"/>
      <c r="I4539" s="17"/>
      <c r="J4539" s="28"/>
      <c r="K4539" s="17"/>
      <c r="L4539" s="649"/>
    </row>
    <row r="4540" spans="2:12" ht="15">
      <c r="B4540" s="769"/>
      <c r="C4540" s="19"/>
      <c r="D4540" s="19"/>
      <c r="E4540" s="19"/>
      <c r="F4540" s="39"/>
      <c r="G4540" s="20"/>
      <c r="H4540" s="850"/>
      <c r="I4540" s="17"/>
      <c r="J4540" s="69"/>
      <c r="K4540" s="17"/>
      <c r="L4540" s="649"/>
    </row>
    <row r="4541" spans="2:12" ht="15">
      <c r="B4541" s="769" t="s">
        <v>541</v>
      </c>
      <c r="C4541" s="20">
        <v>48.4</v>
      </c>
      <c r="D4541" s="20"/>
      <c r="E4541" s="19"/>
      <c r="F4541" s="39"/>
      <c r="G4541" s="20"/>
      <c r="H4541" s="362"/>
      <c r="I4541" s="20"/>
      <c r="J4541" s="69">
        <v>2</v>
      </c>
      <c r="K4541" s="17"/>
      <c r="L4541" s="649">
        <f t="shared" ref="L4541:L4546" si="332">PRODUCT(C4541:K4541)</f>
        <v>96.8</v>
      </c>
    </row>
    <row r="4542" spans="2:12" ht="15">
      <c r="B4542" s="769" t="s">
        <v>542</v>
      </c>
      <c r="C4542" s="20">
        <v>2</v>
      </c>
      <c r="D4542" s="20"/>
      <c r="E4542" s="19"/>
      <c r="F4542" s="39"/>
      <c r="G4542" s="20"/>
      <c r="H4542" s="844"/>
      <c r="I4542" s="20"/>
      <c r="J4542" s="19">
        <v>2</v>
      </c>
      <c r="K4542" s="17"/>
      <c r="L4542" s="649">
        <f t="shared" si="332"/>
        <v>4</v>
      </c>
    </row>
    <row r="4543" spans="2:12" ht="15">
      <c r="B4543" s="769" t="s">
        <v>543</v>
      </c>
      <c r="C4543" s="20">
        <v>4.5999999999999996</v>
      </c>
      <c r="D4543" s="20"/>
      <c r="E4543" s="19"/>
      <c r="F4543" s="39"/>
      <c r="G4543" s="20"/>
      <c r="H4543" s="844"/>
      <c r="I4543" s="20"/>
      <c r="J4543" s="19">
        <v>2</v>
      </c>
      <c r="K4543" s="17"/>
      <c r="L4543" s="649">
        <f t="shared" si="332"/>
        <v>9.1999999999999993</v>
      </c>
    </row>
    <row r="4544" spans="2:12" ht="15">
      <c r="B4544" s="769" t="s">
        <v>544</v>
      </c>
      <c r="C4544" s="20">
        <v>37.6</v>
      </c>
      <c r="D4544" s="20"/>
      <c r="E4544" s="19"/>
      <c r="F4544" s="39"/>
      <c r="G4544" s="20"/>
      <c r="H4544" s="844"/>
      <c r="I4544" s="20"/>
      <c r="J4544" s="19">
        <v>2</v>
      </c>
      <c r="K4544" s="17"/>
      <c r="L4544" s="649">
        <f t="shared" si="332"/>
        <v>75.2</v>
      </c>
    </row>
    <row r="4545" spans="2:12" ht="15">
      <c r="B4545" s="769" t="s">
        <v>542</v>
      </c>
      <c r="C4545" s="20">
        <v>2</v>
      </c>
      <c r="D4545" s="20"/>
      <c r="E4545" s="19"/>
      <c r="F4545" s="39"/>
      <c r="G4545" s="20"/>
      <c r="H4545" s="844"/>
      <c r="I4545" s="20"/>
      <c r="J4545" s="19">
        <v>2</v>
      </c>
      <c r="K4545" s="17"/>
      <c r="L4545" s="649">
        <f t="shared" si="332"/>
        <v>4</v>
      </c>
    </row>
    <row r="4546" spans="2:12" ht="15">
      <c r="B4546" s="769" t="s">
        <v>543</v>
      </c>
      <c r="C4546" s="20">
        <v>4.5999999999999996</v>
      </c>
      <c r="D4546" s="20"/>
      <c r="E4546" s="19"/>
      <c r="F4546" s="39"/>
      <c r="G4546" s="20"/>
      <c r="H4546" s="844"/>
      <c r="I4546" s="20"/>
      <c r="J4546" s="19">
        <v>2</v>
      </c>
      <c r="K4546" s="17"/>
      <c r="L4546" s="649">
        <f t="shared" si="332"/>
        <v>9.1999999999999993</v>
      </c>
    </row>
    <row r="4547" spans="2:12" ht="15.75">
      <c r="B4547" s="770" t="s">
        <v>545</v>
      </c>
      <c r="C4547" s="20"/>
      <c r="D4547" s="20"/>
      <c r="E4547" s="19"/>
      <c r="F4547" s="39"/>
      <c r="G4547" s="20"/>
      <c r="H4547" s="844"/>
      <c r="I4547" s="20"/>
      <c r="J4547" s="19"/>
      <c r="K4547" s="17"/>
      <c r="L4547" s="649"/>
    </row>
    <row r="4548" spans="2:12" ht="15">
      <c r="B4548" s="769" t="s">
        <v>438</v>
      </c>
      <c r="C4548" s="39"/>
      <c r="D4548" s="20"/>
      <c r="E4548" s="39"/>
      <c r="F4548" s="39"/>
      <c r="G4548" s="20"/>
      <c r="H4548" s="844"/>
      <c r="I4548" s="20"/>
      <c r="J4548" s="19"/>
      <c r="K4548" s="17"/>
      <c r="L4548" s="649"/>
    </row>
    <row r="4549" spans="2:12" ht="15">
      <c r="B4549" s="769" t="s">
        <v>549</v>
      </c>
      <c r="C4549" s="20">
        <v>4.43</v>
      </c>
      <c r="D4549" s="20"/>
      <c r="E4549" s="19"/>
      <c r="F4549" s="39"/>
      <c r="G4549" s="20"/>
      <c r="H4549" s="844"/>
      <c r="I4549" s="20"/>
      <c r="J4549" s="19"/>
      <c r="K4549" s="17"/>
      <c r="L4549" s="649">
        <f>PRODUCT(C4549:K4549)</f>
        <v>4.43</v>
      </c>
    </row>
    <row r="4550" spans="2:12" ht="15">
      <c r="B4550" s="769" t="s">
        <v>535</v>
      </c>
      <c r="C4550" s="20">
        <v>12.18</v>
      </c>
      <c r="D4550" s="20"/>
      <c r="E4550" s="19"/>
      <c r="F4550" s="39"/>
      <c r="G4550" s="20"/>
      <c r="H4550" s="844"/>
      <c r="I4550" s="20"/>
      <c r="J4550" s="19"/>
      <c r="K4550" s="17"/>
      <c r="L4550" s="649">
        <f>PRODUCT(C4550:K4550)</f>
        <v>12.18</v>
      </c>
    </row>
    <row r="4551" spans="2:12" ht="15">
      <c r="B4551" s="769" t="s">
        <v>550</v>
      </c>
      <c r="C4551" s="20">
        <v>128.19999999999999</v>
      </c>
      <c r="D4551" s="20"/>
      <c r="E4551" s="19"/>
      <c r="F4551" s="39"/>
      <c r="G4551" s="20"/>
      <c r="H4551" s="844"/>
      <c r="I4551" s="20"/>
      <c r="J4551" s="19"/>
      <c r="K4551" s="17"/>
      <c r="L4551" s="649">
        <f>PRODUCT(C4551:K4551)</f>
        <v>128.19999999999999</v>
      </c>
    </row>
    <row r="4552" spans="2:12" ht="15">
      <c r="B4552" s="751" t="s">
        <v>853</v>
      </c>
      <c r="C4552" s="138">
        <v>28.4</v>
      </c>
      <c r="D4552" s="39"/>
      <c r="E4552" s="39"/>
      <c r="F4552" s="39"/>
      <c r="G4552" s="39"/>
      <c r="H4552" s="39"/>
      <c r="I4552" s="39"/>
      <c r="J4552" s="39">
        <v>2</v>
      </c>
      <c r="K4552" s="39"/>
      <c r="L4552" s="649">
        <f t="shared" ref="L4552:L4556" si="333">PRODUCT(C4552:K4552)</f>
        <v>56.8</v>
      </c>
    </row>
    <row r="4553" spans="2:12" ht="15">
      <c r="B4553" s="751" t="s">
        <v>823</v>
      </c>
      <c r="C4553" s="138">
        <v>41.7</v>
      </c>
      <c r="D4553" s="39"/>
      <c r="E4553" s="39"/>
      <c r="F4553" s="39"/>
      <c r="G4553" s="39"/>
      <c r="H4553" s="39"/>
      <c r="I4553" s="39"/>
      <c r="J4553" s="39">
        <v>2</v>
      </c>
      <c r="K4553" s="39"/>
      <c r="L4553" s="649">
        <f t="shared" si="333"/>
        <v>83.4</v>
      </c>
    </row>
    <row r="4554" spans="2:12" ht="15">
      <c r="B4554" s="751" t="s">
        <v>854</v>
      </c>
      <c r="C4554" s="138">
        <v>41.7</v>
      </c>
      <c r="D4554" s="20"/>
      <c r="E4554" s="19"/>
      <c r="F4554" s="39"/>
      <c r="G4554" s="20"/>
      <c r="H4554" s="844"/>
      <c r="I4554" s="20"/>
      <c r="J4554" s="19">
        <v>2</v>
      </c>
      <c r="K4554" s="17"/>
      <c r="L4554" s="649">
        <f t="shared" si="333"/>
        <v>83.4</v>
      </c>
    </row>
    <row r="4555" spans="2:12" ht="15">
      <c r="B4555" s="751"/>
      <c r="C4555" s="138"/>
      <c r="D4555" s="20"/>
      <c r="E4555" s="19"/>
      <c r="F4555" s="39"/>
      <c r="G4555" s="20"/>
      <c r="H4555" s="844"/>
      <c r="I4555" s="20"/>
      <c r="J4555" s="19"/>
      <c r="K4555" s="17"/>
      <c r="L4555" s="649"/>
    </row>
    <row r="4556" spans="2:12" ht="15">
      <c r="B4556" s="769" t="s">
        <v>547</v>
      </c>
      <c r="C4556" s="39"/>
      <c r="D4556" s="20"/>
      <c r="E4556" s="39"/>
      <c r="F4556" s="39"/>
      <c r="G4556" s="39"/>
      <c r="H4556" s="39"/>
      <c r="I4556" s="39"/>
      <c r="J4556" s="39"/>
      <c r="K4556" s="17"/>
      <c r="L4556" s="649">
        <f t="shared" si="333"/>
        <v>0</v>
      </c>
    </row>
    <row r="4557" spans="2:12" ht="15">
      <c r="B4557" s="769" t="s">
        <v>549</v>
      </c>
      <c r="C4557" s="20">
        <v>3.73</v>
      </c>
      <c r="D4557" s="20"/>
      <c r="E4557" s="19"/>
      <c r="F4557" s="39"/>
      <c r="G4557" s="20"/>
      <c r="H4557" s="844"/>
      <c r="I4557" s="20"/>
      <c r="J4557" s="19">
        <v>2</v>
      </c>
      <c r="K4557" s="17"/>
      <c r="L4557" s="649">
        <f>PRODUCT(C4557:K4557)</f>
        <v>7.46</v>
      </c>
    </row>
    <row r="4558" spans="2:12" ht="15">
      <c r="B4558" s="769" t="s">
        <v>535</v>
      </c>
      <c r="C4558" s="20">
        <v>16.8</v>
      </c>
      <c r="D4558" s="20"/>
      <c r="E4558" s="19"/>
      <c r="F4558" s="39"/>
      <c r="G4558" s="20"/>
      <c r="H4558" s="844"/>
      <c r="I4558" s="20"/>
      <c r="J4558" s="19">
        <v>2</v>
      </c>
      <c r="K4558" s="17"/>
      <c r="L4558" s="649">
        <f>PRODUCT(C4558:K4558)</f>
        <v>33.6</v>
      </c>
    </row>
    <row r="4559" spans="2:12" ht="15">
      <c r="B4559" s="769" t="s">
        <v>550</v>
      </c>
      <c r="C4559" s="20">
        <v>52</v>
      </c>
      <c r="D4559" s="20"/>
      <c r="E4559" s="19"/>
      <c r="F4559" s="39"/>
      <c r="G4559" s="20"/>
      <c r="H4559" s="844"/>
      <c r="I4559" s="20"/>
      <c r="J4559" s="19">
        <v>2</v>
      </c>
      <c r="K4559" s="17"/>
      <c r="L4559" s="649">
        <f>PRODUCT(C4559:K4559)</f>
        <v>104</v>
      </c>
    </row>
    <row r="4560" spans="2:12" ht="15">
      <c r="B4560" s="648"/>
      <c r="C4560" s="20"/>
      <c r="D4560" s="20"/>
      <c r="E4560" s="19"/>
      <c r="F4560" s="20"/>
      <c r="G4560" s="20"/>
      <c r="H4560" s="844"/>
      <c r="I4560" s="20"/>
      <c r="J4560" s="19"/>
      <c r="K4560" s="17"/>
      <c r="L4560" s="649"/>
    </row>
    <row r="4561" spans="2:12" ht="15">
      <c r="B4561" s="648" t="s">
        <v>528</v>
      </c>
      <c r="C4561" s="20"/>
      <c r="D4561" s="20">
        <v>3.5</v>
      </c>
      <c r="E4561" s="19">
        <v>4.5</v>
      </c>
      <c r="F4561" s="20"/>
      <c r="G4561" s="20"/>
      <c r="H4561" s="844"/>
      <c r="I4561" s="20"/>
      <c r="J4561" s="19"/>
      <c r="K4561" s="17"/>
      <c r="L4561" s="649">
        <f>PRODUCT(C4561:K4561)</f>
        <v>15.75</v>
      </c>
    </row>
    <row r="4562" spans="2:12" ht="15">
      <c r="B4562" s="648" t="s">
        <v>529</v>
      </c>
      <c r="C4562" s="20"/>
      <c r="D4562" s="20">
        <v>3.5</v>
      </c>
      <c r="E4562" s="19">
        <v>4.5</v>
      </c>
      <c r="F4562" s="20"/>
      <c r="G4562" s="20"/>
      <c r="H4562" s="844"/>
      <c r="I4562" s="20"/>
      <c r="J4562" s="19"/>
      <c r="K4562" s="17"/>
      <c r="L4562" s="649">
        <f t="shared" ref="L4562:L4563" si="334">PRODUCT(C4562:K4562)</f>
        <v>15.75</v>
      </c>
    </row>
    <row r="4563" spans="2:12" ht="15">
      <c r="B4563" s="648" t="s">
        <v>530</v>
      </c>
      <c r="C4563" s="20"/>
      <c r="D4563" s="20">
        <v>3.5</v>
      </c>
      <c r="E4563" s="19">
        <v>4.5</v>
      </c>
      <c r="F4563" s="20"/>
      <c r="G4563" s="20"/>
      <c r="H4563" s="19"/>
      <c r="I4563" s="20"/>
      <c r="J4563" s="19"/>
      <c r="K4563" s="17"/>
      <c r="L4563" s="649">
        <f t="shared" si="334"/>
        <v>15.75</v>
      </c>
    </row>
    <row r="4564" spans="2:12" ht="15">
      <c r="B4564" s="650"/>
      <c r="C4564" s="20"/>
      <c r="D4564" s="20"/>
      <c r="E4564" s="20"/>
      <c r="F4564" s="20"/>
      <c r="G4564" s="20"/>
      <c r="H4564" s="19"/>
      <c r="I4564" s="20"/>
      <c r="J4564" s="19"/>
      <c r="K4564" s="17"/>
      <c r="L4564" s="649"/>
    </row>
    <row r="4565" spans="2:12" ht="15.75">
      <c r="B4565" s="981"/>
      <c r="C4565" s="982"/>
      <c r="D4565" s="982"/>
      <c r="E4565" s="982"/>
      <c r="F4565" s="982"/>
      <c r="G4565" s="982"/>
      <c r="H4565" s="982"/>
      <c r="I4565" s="982"/>
      <c r="J4565" s="982"/>
      <c r="K4565" s="982"/>
      <c r="L4565" s="983"/>
    </row>
    <row r="4566" spans="2:12" ht="15.75">
      <c r="B4566" s="756"/>
      <c r="C4566" s="757"/>
      <c r="D4566" s="757"/>
      <c r="E4566" s="757"/>
      <c r="F4566" s="757"/>
      <c r="G4566" s="757"/>
      <c r="H4566" s="757"/>
      <c r="I4566" s="757"/>
      <c r="J4566" s="757"/>
      <c r="K4566" s="757"/>
      <c r="L4566" s="758"/>
    </row>
    <row r="4567" spans="2:12" ht="15.6" customHeight="1">
      <c r="B4567" s="638" t="s">
        <v>398</v>
      </c>
      <c r="C4567" s="8">
        <v>9</v>
      </c>
      <c r="D4567" s="1008" t="s">
        <v>1032</v>
      </c>
      <c r="E4567" s="1009"/>
      <c r="F4567" s="1009"/>
      <c r="G4567" s="1009"/>
      <c r="H4567" s="1009"/>
      <c r="I4567" s="1009"/>
      <c r="J4567" s="1009"/>
      <c r="K4567" s="1009"/>
      <c r="L4567" s="1010"/>
    </row>
    <row r="4568" spans="2:12" ht="15">
      <c r="B4568" s="640"/>
      <c r="C4568" s="579"/>
      <c r="D4568" s="579"/>
      <c r="E4568" s="579"/>
      <c r="F4568" s="579"/>
      <c r="G4568" s="579"/>
      <c r="H4568" s="579"/>
      <c r="I4568" s="579"/>
      <c r="J4568" s="579"/>
      <c r="K4568" s="579"/>
      <c r="L4568" s="641"/>
    </row>
    <row r="4569" spans="2:12" ht="31.5">
      <c r="B4569" s="646" t="s">
        <v>399</v>
      </c>
      <c r="C4569" s="8" t="str">
        <f>+'PROPUESTA ECONOMICA(Proponente)'!C536</f>
        <v>9.10</v>
      </c>
      <c r="D4569" s="12" t="str">
        <f>+VLOOKUP('MEMORIAS DE CANTIDADES'!C4569,'PROPUESTA ECONOMICA(Proponente)'!$C$379:$H$661,5,FALSE)</f>
        <v>Suministro e instalación de Estuco plástico, para muros y paredes</v>
      </c>
      <c r="E4569" s="13"/>
      <c r="F4569" s="12"/>
      <c r="G4569" s="12"/>
      <c r="H4569" s="12"/>
      <c r="I4569" s="11" t="s">
        <v>400</v>
      </c>
      <c r="J4569" s="12" t="str">
        <f>+VLOOKUP('MEMORIAS DE CANTIDADES'!C4569,'PROPUESTA ECONOMICA(Proponente)'!$C$379:$H$661,6,FALSE)</f>
        <v>m2</v>
      </c>
      <c r="K4569" s="11" t="s">
        <v>401</v>
      </c>
      <c r="L4569" s="643">
        <f>SUM(L4570:L4635)</f>
        <v>2900.0980000000013</v>
      </c>
    </row>
    <row r="4570" spans="2:12" ht="15">
      <c r="B4570" s="644"/>
      <c r="C4570" s="16"/>
      <c r="D4570" s="15"/>
      <c r="E4570" s="15"/>
      <c r="F4570" s="15"/>
      <c r="G4570" s="15"/>
      <c r="H4570" s="15"/>
      <c r="I4570" s="15"/>
      <c r="J4570" s="15"/>
      <c r="K4570" s="17"/>
      <c r="L4570" s="645"/>
    </row>
    <row r="4571" spans="2:12" ht="47.25">
      <c r="B4571" s="646" t="s">
        <v>402</v>
      </c>
      <c r="C4571" s="18" t="s">
        <v>403</v>
      </c>
      <c r="D4571" s="18" t="s">
        <v>404</v>
      </c>
      <c r="E4571" s="18" t="s">
        <v>405</v>
      </c>
      <c r="F4571" s="18" t="s">
        <v>406</v>
      </c>
      <c r="G4571" s="18" t="s">
        <v>407</v>
      </c>
      <c r="H4571" s="5" t="s">
        <v>408</v>
      </c>
      <c r="I4571" s="18" t="s">
        <v>409</v>
      </c>
      <c r="J4571" s="5" t="s">
        <v>410</v>
      </c>
      <c r="K4571" s="5" t="s">
        <v>411</v>
      </c>
      <c r="L4571" s="647" t="s">
        <v>412</v>
      </c>
    </row>
    <row r="4572" spans="2:12" ht="15.75">
      <c r="B4572" s="759" t="s">
        <v>580</v>
      </c>
      <c r="C4572" s="19"/>
      <c r="D4572" s="19"/>
      <c r="L4572" s="649"/>
    </row>
    <row r="4573" spans="2:12" ht="15">
      <c r="B4573" s="769" t="s">
        <v>588</v>
      </c>
      <c r="C4573" s="20"/>
      <c r="D4573" s="19"/>
      <c r="E4573" s="19">
        <v>3.5</v>
      </c>
      <c r="F4573" s="19">
        <v>34</v>
      </c>
      <c r="G4573" s="20"/>
      <c r="H4573" s="68"/>
      <c r="I4573" s="17"/>
      <c r="J4573" s="17">
        <v>2</v>
      </c>
      <c r="K4573" s="17"/>
      <c r="L4573" s="649">
        <f t="shared" ref="L4573:L4577" si="335">PRODUCT(C4573:K4573)</f>
        <v>238</v>
      </c>
    </row>
    <row r="4574" spans="2:12" ht="15">
      <c r="B4574" s="769" t="s">
        <v>589</v>
      </c>
      <c r="C4574" s="20"/>
      <c r="D4574" s="19"/>
      <c r="E4574" s="19">
        <v>3.5</v>
      </c>
      <c r="F4574" s="19">
        <v>34</v>
      </c>
      <c r="G4574" s="20"/>
      <c r="H4574" s="68"/>
      <c r="I4574" s="17"/>
      <c r="J4574" s="223">
        <v>2</v>
      </c>
      <c r="K4574" s="17"/>
      <c r="L4574" s="649">
        <f t="shared" si="335"/>
        <v>238</v>
      </c>
    </row>
    <row r="4575" spans="2:12" ht="15">
      <c r="B4575" s="751" t="s">
        <v>853</v>
      </c>
      <c r="C4575" s="20"/>
      <c r="D4575" s="19"/>
      <c r="E4575" s="19">
        <v>3.5</v>
      </c>
      <c r="F4575" s="19">
        <v>22</v>
      </c>
      <c r="G4575" s="20"/>
      <c r="H4575" s="68"/>
      <c r="I4575" s="17"/>
      <c r="J4575" s="223">
        <v>2</v>
      </c>
      <c r="K4575" s="17"/>
      <c r="L4575" s="649">
        <f t="shared" si="335"/>
        <v>154</v>
      </c>
    </row>
    <row r="4576" spans="2:12" ht="15">
      <c r="B4576" s="751" t="s">
        <v>823</v>
      </c>
      <c r="C4576" s="20"/>
      <c r="D4576" s="20"/>
      <c r="E4576" s="19">
        <v>3.5</v>
      </c>
      <c r="F4576" s="19">
        <v>30</v>
      </c>
      <c r="G4576" s="20"/>
      <c r="H4576" s="68"/>
      <c r="I4576" s="17"/>
      <c r="J4576" s="223">
        <v>2</v>
      </c>
      <c r="K4576" s="17"/>
      <c r="L4576" s="649">
        <f t="shared" si="335"/>
        <v>210</v>
      </c>
    </row>
    <row r="4577" spans="2:12" ht="15">
      <c r="B4577" s="751" t="s">
        <v>854</v>
      </c>
      <c r="C4577" s="20"/>
      <c r="D4577" s="20"/>
      <c r="E4577" s="19">
        <v>3.5</v>
      </c>
      <c r="F4577" s="19">
        <v>30</v>
      </c>
      <c r="G4577" s="20"/>
      <c r="H4577" s="68"/>
      <c r="I4577" s="17"/>
      <c r="J4577" s="223">
        <v>2</v>
      </c>
      <c r="K4577" s="17"/>
      <c r="L4577" s="649">
        <f t="shared" si="335"/>
        <v>210</v>
      </c>
    </row>
    <row r="4578" spans="2:12" ht="15">
      <c r="B4578" s="769"/>
      <c r="C4578" s="20"/>
      <c r="D4578" s="19"/>
      <c r="E4578" s="19"/>
      <c r="F4578" s="19"/>
      <c r="G4578" s="20"/>
      <c r="H4578" s="68"/>
      <c r="I4578" s="17"/>
      <c r="J4578" s="69"/>
      <c r="K4578" s="17"/>
      <c r="L4578" s="649"/>
    </row>
    <row r="4579" spans="2:12" ht="15">
      <c r="B4579" s="769"/>
      <c r="C4579" s="20"/>
      <c r="D4579" s="19"/>
      <c r="E4579" s="19"/>
      <c r="F4579" s="19"/>
      <c r="G4579" s="20"/>
      <c r="H4579" s="68"/>
      <c r="I4579" s="17"/>
      <c r="J4579" s="69"/>
      <c r="K4579" s="17"/>
      <c r="L4579" s="649"/>
    </row>
    <row r="4580" spans="2:12" ht="15.75">
      <c r="B4580" s="770" t="s">
        <v>545</v>
      </c>
      <c r="C4580" s="20"/>
      <c r="D4580" s="20"/>
      <c r="E4580" s="19"/>
      <c r="F4580" s="20"/>
      <c r="G4580" s="20"/>
      <c r="H4580" s="19"/>
      <c r="I4580" s="20"/>
      <c r="J4580" s="19"/>
      <c r="K4580" s="17"/>
      <c r="L4580" s="649"/>
    </row>
    <row r="4581" spans="2:12" ht="15">
      <c r="B4581" s="769" t="s">
        <v>438</v>
      </c>
      <c r="C4581" s="20"/>
      <c r="D4581" s="20"/>
      <c r="E4581" s="39"/>
      <c r="F4581" s="39"/>
      <c r="G4581" s="20"/>
      <c r="H4581" s="19"/>
      <c r="I4581" s="20"/>
      <c r="J4581" s="19"/>
      <c r="K4581" s="17"/>
      <c r="L4581" s="649"/>
    </row>
    <row r="4582" spans="2:12" ht="15">
      <c r="B4582" s="769" t="s">
        <v>535</v>
      </c>
      <c r="C4582" s="20"/>
      <c r="D4582" s="20"/>
      <c r="E4582" s="19">
        <v>3.5</v>
      </c>
      <c r="F4582" s="20">
        <v>18.3</v>
      </c>
      <c r="G4582" s="20"/>
      <c r="H4582" s="19"/>
      <c r="I4582" s="20"/>
      <c r="J4582" s="19"/>
      <c r="K4582" s="17"/>
      <c r="L4582" s="649">
        <f t="shared" ref="L4582:L4583" si="336">PRODUCT(C4582:K4582)</f>
        <v>64.05</v>
      </c>
    </row>
    <row r="4583" spans="2:12" ht="15">
      <c r="B4583" s="769" t="s">
        <v>526</v>
      </c>
      <c r="C4583" s="20">
        <v>2</v>
      </c>
      <c r="D4583" s="20"/>
      <c r="E4583" s="19"/>
      <c r="F4583" s="20"/>
      <c r="G4583" s="20"/>
      <c r="H4583" s="19"/>
      <c r="I4583" s="20"/>
      <c r="J4583" s="19"/>
      <c r="K4583" s="17"/>
      <c r="L4583" s="649">
        <f t="shared" si="336"/>
        <v>2</v>
      </c>
    </row>
    <row r="4584" spans="2:12" ht="15">
      <c r="B4584" s="769" t="s">
        <v>526</v>
      </c>
      <c r="C4584" s="20"/>
      <c r="D4584" s="20"/>
      <c r="E4584" s="19">
        <v>-1.3</v>
      </c>
      <c r="F4584" s="20">
        <v>2.4</v>
      </c>
      <c r="G4584" s="20"/>
      <c r="H4584" s="19"/>
      <c r="I4584" s="20"/>
      <c r="J4584" s="19">
        <v>2</v>
      </c>
      <c r="K4584" s="17"/>
      <c r="L4584" s="649">
        <f>PRODUCT(C4584:K4584)</f>
        <v>-6.24</v>
      </c>
    </row>
    <row r="4585" spans="2:12" ht="15">
      <c r="B4585" s="769" t="s">
        <v>550</v>
      </c>
      <c r="C4585" s="20">
        <v>276.29000000000002</v>
      </c>
      <c r="D4585" s="20"/>
      <c r="E4585" s="19"/>
      <c r="F4585" s="20"/>
      <c r="G4585" s="20"/>
      <c r="H4585" s="19"/>
      <c r="I4585" s="20"/>
      <c r="J4585" s="19"/>
      <c r="K4585" s="17"/>
      <c r="L4585" s="649">
        <f t="shared" ref="L4585" si="337">PRODUCT(C4585:K4585)</f>
        <v>276.29000000000002</v>
      </c>
    </row>
    <row r="4586" spans="2:12" ht="16.149999999999999" customHeight="1">
      <c r="B4586" s="769"/>
      <c r="C4586" s="20"/>
      <c r="D4586" s="20"/>
      <c r="E4586" s="19"/>
      <c r="F4586" s="20"/>
      <c r="G4586" s="20"/>
      <c r="H4586" s="19"/>
      <c r="I4586" s="20"/>
      <c r="J4586" s="19"/>
      <c r="K4586" s="17"/>
      <c r="L4586" s="649"/>
    </row>
    <row r="4587" spans="2:12" ht="16.149999999999999" customHeight="1">
      <c r="B4587" s="769" t="s">
        <v>547</v>
      </c>
      <c r="C4587" s="20"/>
      <c r="D4587" s="20"/>
      <c r="K4587" s="17"/>
      <c r="L4587" s="649"/>
    </row>
    <row r="4588" spans="2:12" ht="16.149999999999999" customHeight="1">
      <c r="B4588" s="769" t="s">
        <v>535</v>
      </c>
      <c r="C4588" s="20"/>
      <c r="D4588" s="20"/>
      <c r="E4588" s="19">
        <v>3</v>
      </c>
      <c r="F4588" s="20">
        <v>13.7</v>
      </c>
      <c r="G4588" s="20"/>
      <c r="H4588" s="19"/>
      <c r="I4588" s="20"/>
      <c r="J4588" s="19">
        <v>2</v>
      </c>
      <c r="K4588" s="17"/>
      <c r="L4588" s="649">
        <f t="shared" ref="L4588" si="338">PRODUCT(C4588:K4588)</f>
        <v>82.199999999999989</v>
      </c>
    </row>
    <row r="4589" spans="2:12" ht="16.149999999999999" customHeight="1">
      <c r="B4589" s="769" t="s">
        <v>526</v>
      </c>
      <c r="C4589" s="20">
        <v>2</v>
      </c>
      <c r="D4589" s="20"/>
      <c r="E4589" s="19"/>
      <c r="F4589" s="20"/>
      <c r="G4589" s="20"/>
      <c r="H4589" s="19"/>
      <c r="I4589" s="20"/>
      <c r="J4589" s="19">
        <v>1</v>
      </c>
      <c r="K4589" s="17"/>
      <c r="L4589" s="649">
        <f>PRODUCT(C4589:K4589)</f>
        <v>2</v>
      </c>
    </row>
    <row r="4590" spans="2:12" ht="16.149999999999999" customHeight="1">
      <c r="B4590" s="769" t="s">
        <v>526</v>
      </c>
      <c r="C4590" s="20"/>
      <c r="D4590" s="20"/>
      <c r="E4590" s="19">
        <v>-1.3</v>
      </c>
      <c r="F4590" s="20">
        <v>2.4</v>
      </c>
      <c r="G4590" s="20"/>
      <c r="H4590" s="19"/>
      <c r="I4590" s="20"/>
      <c r="J4590" s="19">
        <v>4</v>
      </c>
      <c r="K4590" s="17"/>
      <c r="L4590" s="649">
        <f>PRODUCT(C4590:K4590)</f>
        <v>-12.48</v>
      </c>
    </row>
    <row r="4591" spans="2:12" ht="16.149999999999999" customHeight="1">
      <c r="B4591" s="769" t="s">
        <v>550</v>
      </c>
      <c r="C4591" s="20">
        <v>165.6</v>
      </c>
      <c r="D4591" s="20"/>
      <c r="E4591" s="19"/>
      <c r="F4591" s="20"/>
      <c r="G4591" s="20"/>
      <c r="H4591" s="19"/>
      <c r="I4591" s="20"/>
      <c r="J4591" s="19">
        <v>2</v>
      </c>
      <c r="K4591" s="17"/>
      <c r="L4591" s="649">
        <f t="shared" ref="L4591" si="339">PRODUCT(C4591:K4591)</f>
        <v>331.2</v>
      </c>
    </row>
    <row r="4592" spans="2:12" ht="16.149999999999999" customHeight="1">
      <c r="B4592" s="650"/>
      <c r="C4592" s="20"/>
      <c r="D4592" s="20"/>
      <c r="E4592" s="19"/>
      <c r="F4592" s="20"/>
      <c r="G4592" s="20"/>
      <c r="H4592" s="19"/>
      <c r="I4592" s="20"/>
      <c r="J4592" s="19"/>
      <c r="K4592" s="17"/>
      <c r="L4592" s="649"/>
    </row>
    <row r="4593" spans="2:12" ht="15">
      <c r="B4593" s="648"/>
      <c r="C4593" s="20"/>
      <c r="D4593" s="20"/>
      <c r="E4593" s="19"/>
      <c r="F4593" s="20"/>
      <c r="G4593" s="20"/>
      <c r="H4593" s="19"/>
      <c r="I4593" s="20"/>
      <c r="J4593" s="19"/>
      <c r="K4593" s="17"/>
      <c r="L4593" s="649"/>
    </row>
    <row r="4594" spans="2:12" ht="15">
      <c r="B4594" s="648" t="s">
        <v>528</v>
      </c>
      <c r="C4594" s="20"/>
      <c r="D4594" s="20"/>
      <c r="E4594" s="19">
        <v>3</v>
      </c>
      <c r="F4594" s="20">
        <v>3</v>
      </c>
      <c r="G4594" s="20"/>
      <c r="H4594" s="19"/>
      <c r="I4594" s="20"/>
      <c r="J4594" s="19">
        <v>2</v>
      </c>
      <c r="K4594" s="17"/>
      <c r="L4594" s="649">
        <f>PRODUCT(C4594:K4594)</f>
        <v>18</v>
      </c>
    </row>
    <row r="4595" spans="2:12" ht="15">
      <c r="B4595" s="648" t="s">
        <v>529</v>
      </c>
      <c r="C4595" s="20"/>
      <c r="D4595" s="20"/>
      <c r="E4595" s="19">
        <v>3</v>
      </c>
      <c r="F4595" s="20">
        <v>3</v>
      </c>
      <c r="G4595" s="20"/>
      <c r="H4595" s="19"/>
      <c r="I4595" s="20"/>
      <c r="J4595" s="19"/>
      <c r="K4595" s="17"/>
      <c r="L4595" s="649">
        <f t="shared" ref="L4595:L4597" si="340">PRODUCT(C4595:K4595)</f>
        <v>9</v>
      </c>
    </row>
    <row r="4596" spans="2:12" ht="15">
      <c r="B4596" s="648" t="s">
        <v>530</v>
      </c>
      <c r="C4596" s="20"/>
      <c r="D4596" s="20"/>
      <c r="E4596" s="19">
        <v>3</v>
      </c>
      <c r="F4596" s="20">
        <v>3</v>
      </c>
      <c r="G4596" s="20"/>
      <c r="H4596" s="19"/>
      <c r="I4596" s="20"/>
      <c r="J4596" s="19"/>
      <c r="K4596" s="17"/>
      <c r="L4596" s="649">
        <f t="shared" si="340"/>
        <v>9</v>
      </c>
    </row>
    <row r="4597" spans="2:12" ht="15">
      <c r="B4597" s="648" t="s">
        <v>526</v>
      </c>
      <c r="C4597" s="20">
        <v>-4</v>
      </c>
      <c r="D4597" s="20"/>
      <c r="E4597" s="19"/>
      <c r="F4597" s="20"/>
      <c r="G4597" s="20"/>
      <c r="H4597" s="19"/>
      <c r="I4597" s="20"/>
      <c r="J4597" s="19">
        <v>4</v>
      </c>
      <c r="K4597" s="17"/>
      <c r="L4597" s="649">
        <f t="shared" si="340"/>
        <v>-16</v>
      </c>
    </row>
    <row r="4598" spans="2:12" ht="15">
      <c r="B4598" s="648"/>
      <c r="C4598" s="20"/>
      <c r="D4598" s="20"/>
      <c r="E4598" s="19"/>
      <c r="F4598" s="20"/>
      <c r="G4598" s="20"/>
      <c r="H4598" s="19"/>
      <c r="I4598" s="20"/>
      <c r="J4598" s="19"/>
      <c r="K4598" s="17"/>
      <c r="L4598" s="649"/>
    </row>
    <row r="4599" spans="2:12" ht="30">
      <c r="B4599" s="648" t="s">
        <v>551</v>
      </c>
      <c r="C4599" s="20"/>
      <c r="D4599" s="20"/>
      <c r="E4599" s="19">
        <v>0.5</v>
      </c>
      <c r="F4599" s="20">
        <f>109.7+97.67+107+238.7</f>
        <v>553.06999999999994</v>
      </c>
      <c r="G4599" s="20"/>
      <c r="H4599" s="19"/>
      <c r="I4599" s="20"/>
      <c r="J4599" s="19">
        <v>2</v>
      </c>
      <c r="K4599" s="17"/>
      <c r="L4599" s="649">
        <f t="shared" ref="L4599" si="341">PRODUCT(C4599:K4599)</f>
        <v>553.06999999999994</v>
      </c>
    </row>
    <row r="4600" spans="2:12" ht="15">
      <c r="B4600" s="648"/>
      <c r="C4600" s="20"/>
      <c r="D4600" s="20"/>
      <c r="E4600" s="19"/>
      <c r="F4600" s="20"/>
      <c r="G4600" s="20"/>
      <c r="H4600" s="19"/>
      <c r="I4600" s="20"/>
      <c r="J4600" s="19"/>
      <c r="K4600" s="17"/>
      <c r="L4600" s="649"/>
    </row>
    <row r="4601" spans="2:12" ht="15.75">
      <c r="B4601" s="759" t="s">
        <v>527</v>
      </c>
      <c r="C4601" s="20"/>
      <c r="D4601" s="20"/>
      <c r="E4601" s="19"/>
      <c r="F4601" s="20"/>
      <c r="G4601" s="20"/>
      <c r="H4601" s="19"/>
      <c r="I4601" s="20"/>
      <c r="J4601" s="19"/>
      <c r="K4601" s="17"/>
      <c r="L4601" s="649"/>
    </row>
    <row r="4602" spans="2:12" ht="15">
      <c r="B4602" s="648"/>
      <c r="C4602" s="20"/>
      <c r="D4602" s="20"/>
      <c r="E4602" s="19"/>
      <c r="F4602" s="20"/>
      <c r="G4602" s="20"/>
      <c r="H4602" s="19"/>
      <c r="I4602" s="20"/>
      <c r="J4602" s="19"/>
      <c r="K4602" s="17"/>
      <c r="L4602" s="649"/>
    </row>
    <row r="4603" spans="2:12" ht="15.75">
      <c r="B4603" s="759" t="s">
        <v>580</v>
      </c>
      <c r="C4603" s="19"/>
      <c r="D4603" s="19"/>
      <c r="E4603" s="19"/>
      <c r="F4603" s="19"/>
      <c r="G4603" s="20"/>
      <c r="H4603" s="68"/>
      <c r="I4603" s="17"/>
      <c r="J4603" s="28"/>
      <c r="K4603" s="17"/>
      <c r="L4603" s="649"/>
    </row>
    <row r="4604" spans="2:12" ht="15">
      <c r="B4604" s="769" t="s">
        <v>541</v>
      </c>
      <c r="C4604" s="20"/>
      <c r="D4604" s="20"/>
      <c r="E4604" s="19">
        <v>0.6</v>
      </c>
      <c r="F4604" s="20">
        <f>37.8+1.28</f>
        <v>39.08</v>
      </c>
      <c r="G4604" s="20"/>
      <c r="H4604" s="20"/>
      <c r="I4604" s="20"/>
      <c r="J4604" s="69"/>
      <c r="K4604" s="17"/>
      <c r="L4604" s="649">
        <f>PRODUCT(C4604:K4604)</f>
        <v>23.447999999999997</v>
      </c>
    </row>
    <row r="4605" spans="2:12" ht="15">
      <c r="B4605" s="769" t="s">
        <v>542</v>
      </c>
      <c r="C4605" s="20"/>
      <c r="D4605" s="20"/>
      <c r="E4605" s="19">
        <v>0.6</v>
      </c>
      <c r="F4605" s="20">
        <v>5.76</v>
      </c>
      <c r="G4605" s="20"/>
      <c r="H4605" s="19"/>
      <c r="I4605" s="20"/>
      <c r="J4605" s="19"/>
      <c r="K4605" s="17"/>
      <c r="L4605" s="649">
        <f t="shared" ref="L4605:L4611" si="342">PRODUCT(C4605:K4605)</f>
        <v>3.456</v>
      </c>
    </row>
    <row r="4606" spans="2:12" ht="15">
      <c r="B4606" s="769" t="s">
        <v>543</v>
      </c>
      <c r="C4606" s="20"/>
      <c r="D4606" s="20"/>
      <c r="E4606" s="19">
        <v>0.6</v>
      </c>
      <c r="F4606" s="20">
        <v>8.8000000000000007</v>
      </c>
      <c r="G4606" s="20"/>
      <c r="H4606" s="19"/>
      <c r="I4606" s="20"/>
      <c r="J4606" s="19"/>
      <c r="K4606" s="17"/>
      <c r="L4606" s="649">
        <f t="shared" si="342"/>
        <v>5.28</v>
      </c>
    </row>
    <row r="4607" spans="2:12" ht="15">
      <c r="B4607" s="769" t="s">
        <v>544</v>
      </c>
      <c r="C4607" s="20"/>
      <c r="D4607" s="20"/>
      <c r="E4607" s="19">
        <v>0.6</v>
      </c>
      <c r="F4607" s="20">
        <f>31.42+1.33</f>
        <v>32.75</v>
      </c>
      <c r="G4607" s="20"/>
      <c r="H4607" s="19"/>
      <c r="I4607" s="20"/>
      <c r="J4607" s="19"/>
      <c r="K4607" s="17"/>
      <c r="L4607" s="649">
        <f t="shared" si="342"/>
        <v>19.649999999999999</v>
      </c>
    </row>
    <row r="4608" spans="2:12" ht="15">
      <c r="B4608" s="769" t="s">
        <v>542</v>
      </c>
      <c r="C4608" s="20"/>
      <c r="D4608" s="20"/>
      <c r="E4608" s="19">
        <v>0.6</v>
      </c>
      <c r="F4608" s="20">
        <v>5.78</v>
      </c>
      <c r="G4608" s="20"/>
      <c r="H4608" s="19"/>
      <c r="I4608" s="20"/>
      <c r="J4608" s="19"/>
      <c r="K4608" s="17"/>
      <c r="L4608" s="649">
        <f t="shared" si="342"/>
        <v>3.468</v>
      </c>
    </row>
    <row r="4609" spans="2:12" ht="15">
      <c r="B4609" s="769" t="s">
        <v>543</v>
      </c>
      <c r="C4609" s="20"/>
      <c r="D4609" s="20"/>
      <c r="E4609" s="19">
        <v>0.6</v>
      </c>
      <c r="F4609" s="20">
        <v>8.81</v>
      </c>
      <c r="G4609" s="20"/>
      <c r="H4609" s="19"/>
      <c r="I4609" s="20"/>
      <c r="J4609" s="19"/>
      <c r="K4609" s="17"/>
      <c r="L4609" s="649">
        <f t="shared" si="342"/>
        <v>5.2860000000000005</v>
      </c>
    </row>
    <row r="4610" spans="2:12" ht="15">
      <c r="B4610" s="769" t="s">
        <v>526</v>
      </c>
      <c r="C4610" s="20">
        <v>-0.6</v>
      </c>
      <c r="D4610" s="20"/>
      <c r="E4610" s="20"/>
      <c r="F4610" s="20"/>
      <c r="G4610" s="20"/>
      <c r="H4610" s="19"/>
      <c r="I4610" s="20">
        <v>6</v>
      </c>
      <c r="J4610" s="19"/>
      <c r="K4610" s="17"/>
      <c r="L4610" s="649">
        <f t="shared" si="342"/>
        <v>-3.5999999999999996</v>
      </c>
    </row>
    <row r="4611" spans="2:12" ht="15">
      <c r="B4611" s="769" t="s">
        <v>526</v>
      </c>
      <c r="C4611" s="20">
        <v>-1.56</v>
      </c>
      <c r="D4611" s="20"/>
      <c r="E4611" s="20"/>
      <c r="F4611" s="20"/>
      <c r="G4611" s="20"/>
      <c r="H4611" s="19"/>
      <c r="I4611" s="20">
        <v>1</v>
      </c>
      <c r="J4611" s="19"/>
      <c r="K4611" s="17"/>
      <c r="L4611" s="649">
        <f t="shared" si="342"/>
        <v>-1.56</v>
      </c>
    </row>
    <row r="4612" spans="2:12" ht="15">
      <c r="B4612" s="655"/>
      <c r="C4612" s="20"/>
      <c r="D4612" s="20"/>
      <c r="E4612" s="20"/>
      <c r="F4612" s="20"/>
      <c r="G4612" s="20"/>
      <c r="H4612" s="19"/>
      <c r="I4612" s="20"/>
      <c r="J4612" s="19"/>
      <c r="K4612" s="17"/>
      <c r="L4612" s="649"/>
    </row>
    <row r="4613" spans="2:12" ht="15">
      <c r="B4613" s="769"/>
      <c r="C4613" s="20"/>
      <c r="D4613" s="20"/>
      <c r="E4613" s="19"/>
      <c r="F4613" s="20"/>
      <c r="G4613" s="20"/>
      <c r="H4613" s="19"/>
      <c r="I4613" s="20"/>
      <c r="J4613" s="19"/>
      <c r="K4613" s="17"/>
      <c r="L4613" s="649"/>
    </row>
    <row r="4614" spans="2:12" ht="15.75">
      <c r="B4614" s="770" t="s">
        <v>545</v>
      </c>
      <c r="C4614" s="20"/>
      <c r="D4614" s="20"/>
      <c r="E4614" s="19"/>
      <c r="F4614" s="20"/>
      <c r="G4614" s="20"/>
      <c r="H4614" s="19"/>
      <c r="I4614" s="20"/>
      <c r="J4614" s="19"/>
      <c r="K4614" s="17"/>
      <c r="L4614" s="649"/>
    </row>
    <row r="4615" spans="2:12" ht="15">
      <c r="B4615" s="769" t="s">
        <v>438</v>
      </c>
      <c r="C4615" s="20"/>
      <c r="D4615" s="20"/>
      <c r="E4615" s="39"/>
      <c r="F4615" s="39"/>
      <c r="G4615" s="20"/>
      <c r="H4615" s="19"/>
      <c r="I4615" s="20"/>
      <c r="J4615" s="19"/>
      <c r="K4615" s="17"/>
      <c r="L4615" s="649"/>
    </row>
    <row r="4616" spans="2:12" ht="15">
      <c r="B4616" s="769" t="s">
        <v>549</v>
      </c>
      <c r="C4616" s="20"/>
      <c r="D4616" s="20"/>
      <c r="E4616" s="19">
        <v>1</v>
      </c>
      <c r="F4616" s="20">
        <v>8.5</v>
      </c>
      <c r="G4616" s="20"/>
      <c r="H4616" s="19"/>
      <c r="I4616" s="20"/>
      <c r="J4616" s="19"/>
      <c r="K4616" s="17"/>
      <c r="L4616" s="649">
        <f t="shared" ref="L4616:L4618" si="343">PRODUCT(C4616:K4616)</f>
        <v>8.5</v>
      </c>
    </row>
    <row r="4617" spans="2:12" ht="15">
      <c r="B4617" s="769" t="s">
        <v>535</v>
      </c>
      <c r="C4617" s="20"/>
      <c r="D4617" s="20"/>
      <c r="E4617" s="19">
        <v>3</v>
      </c>
      <c r="F4617" s="20">
        <v>16.8</v>
      </c>
      <c r="G4617" s="20"/>
      <c r="H4617" s="19"/>
      <c r="I4617" s="20"/>
      <c r="J4617" s="19"/>
      <c r="K4617" s="17"/>
      <c r="L4617" s="649">
        <f t="shared" si="343"/>
        <v>50.400000000000006</v>
      </c>
    </row>
    <row r="4618" spans="2:12" ht="15">
      <c r="B4618" s="769" t="s">
        <v>526</v>
      </c>
      <c r="C4618" s="20">
        <v>-4</v>
      </c>
      <c r="D4618" s="20"/>
      <c r="E4618" s="19"/>
      <c r="F4618" s="20"/>
      <c r="G4618" s="20"/>
      <c r="H4618" s="19"/>
      <c r="I4618" s="20"/>
      <c r="J4618" s="19"/>
      <c r="K4618" s="17"/>
      <c r="L4618" s="649">
        <f t="shared" si="343"/>
        <v>-4</v>
      </c>
    </row>
    <row r="4619" spans="2:12" ht="15">
      <c r="B4619" s="769" t="s">
        <v>526</v>
      </c>
      <c r="C4619" s="20"/>
      <c r="D4619" s="20"/>
      <c r="E4619" s="19">
        <v>-1.3</v>
      </c>
      <c r="F4619" s="20">
        <v>2.4</v>
      </c>
      <c r="G4619" s="20"/>
      <c r="H4619" s="19"/>
      <c r="I4619" s="20"/>
      <c r="J4619" s="19">
        <v>2</v>
      </c>
      <c r="K4619" s="17"/>
      <c r="L4619" s="649">
        <f>PRODUCT(C4619:K4619)</f>
        <v>-6.24</v>
      </c>
    </row>
    <row r="4620" spans="2:12" ht="15">
      <c r="B4620" s="769"/>
      <c r="C4620" s="20"/>
      <c r="D4620" s="20"/>
      <c r="E4620" s="19"/>
      <c r="F4620" s="20"/>
      <c r="G4620" s="20"/>
      <c r="H4620" s="19"/>
      <c r="I4620" s="20"/>
      <c r="J4620" s="19"/>
      <c r="K4620" s="17"/>
      <c r="L4620" s="649"/>
    </row>
    <row r="4621" spans="2:12" ht="15">
      <c r="B4621" s="769"/>
      <c r="C4621" s="20"/>
      <c r="D4621" s="20"/>
      <c r="E4621" s="19"/>
      <c r="F4621" s="20"/>
      <c r="G4621" s="20"/>
      <c r="H4621" s="19"/>
      <c r="I4621" s="20"/>
      <c r="J4621" s="19"/>
      <c r="K4621" s="17"/>
      <c r="L4621" s="649"/>
    </row>
    <row r="4622" spans="2:12" ht="15">
      <c r="B4622" s="769" t="s">
        <v>547</v>
      </c>
      <c r="C4622" s="20"/>
      <c r="D4622" s="20"/>
      <c r="K4622" s="17"/>
      <c r="L4622" s="649"/>
    </row>
    <row r="4623" spans="2:12" ht="15">
      <c r="B4623" s="769" t="s">
        <v>549</v>
      </c>
      <c r="C4623" s="20"/>
      <c r="D4623" s="20"/>
      <c r="E4623" s="19">
        <v>1</v>
      </c>
      <c r="F4623" s="20">
        <v>8</v>
      </c>
      <c r="G4623" s="20"/>
      <c r="H4623" s="19"/>
      <c r="I4623" s="20"/>
      <c r="J4623" s="19">
        <v>2</v>
      </c>
      <c r="K4623" s="17"/>
      <c r="L4623" s="649">
        <f>PRODUCT(C4623:K4623)</f>
        <v>16</v>
      </c>
    </row>
    <row r="4624" spans="2:12" ht="15">
      <c r="B4624" s="769" t="s">
        <v>535</v>
      </c>
      <c r="C4624" s="20"/>
      <c r="D4624" s="20"/>
      <c r="E4624" s="19">
        <v>3</v>
      </c>
      <c r="F4624" s="20">
        <v>16.8</v>
      </c>
      <c r="G4624" s="20"/>
      <c r="H4624" s="19"/>
      <c r="I4624" s="20"/>
      <c r="J4624" s="19">
        <v>2</v>
      </c>
      <c r="K4624" s="17"/>
      <c r="L4624" s="649">
        <f t="shared" ref="L4624" si="344">PRODUCT(C4624:K4624)</f>
        <v>100.80000000000001</v>
      </c>
    </row>
    <row r="4625" spans="2:12" ht="15">
      <c r="B4625" s="769" t="s">
        <v>526</v>
      </c>
      <c r="C4625" s="20"/>
      <c r="D4625" s="20"/>
      <c r="E4625" s="19">
        <v>-4</v>
      </c>
      <c r="F4625" s="20"/>
      <c r="G4625" s="20"/>
      <c r="H4625" s="19"/>
      <c r="I4625" s="20"/>
      <c r="J4625" s="19">
        <v>2</v>
      </c>
      <c r="K4625" s="17"/>
      <c r="L4625" s="649">
        <f>PRODUCT(C4625:K4625)</f>
        <v>-8</v>
      </c>
    </row>
    <row r="4626" spans="2:12" ht="15">
      <c r="B4626" s="769" t="s">
        <v>526</v>
      </c>
      <c r="C4626" s="20"/>
      <c r="D4626" s="20"/>
      <c r="E4626" s="19">
        <v>-1.3</v>
      </c>
      <c r="F4626" s="20">
        <v>2.4</v>
      </c>
      <c r="G4626" s="20"/>
      <c r="H4626" s="19"/>
      <c r="I4626" s="20"/>
      <c r="J4626" s="19">
        <v>4</v>
      </c>
      <c r="K4626" s="17"/>
      <c r="L4626" s="649">
        <f>PRODUCT(C4626:K4626)</f>
        <v>-12.48</v>
      </c>
    </row>
    <row r="4627" spans="2:12" ht="15">
      <c r="B4627" s="769"/>
      <c r="C4627" s="20"/>
      <c r="D4627" s="20"/>
      <c r="E4627" s="19"/>
      <c r="F4627" s="20"/>
      <c r="G4627" s="20"/>
      <c r="H4627" s="19"/>
      <c r="I4627" s="20"/>
      <c r="J4627" s="19"/>
      <c r="K4627" s="17"/>
      <c r="L4627" s="649"/>
    </row>
    <row r="4628" spans="2:12" ht="15">
      <c r="B4628" s="650"/>
      <c r="C4628" s="20"/>
      <c r="D4628" s="20"/>
      <c r="E4628" s="19"/>
      <c r="F4628" s="20"/>
      <c r="G4628" s="20"/>
      <c r="H4628" s="19"/>
      <c r="I4628" s="20"/>
      <c r="J4628" s="19"/>
      <c r="K4628" s="17"/>
      <c r="L4628" s="649"/>
    </row>
    <row r="4629" spans="2:12" ht="15">
      <c r="B4629" s="648"/>
      <c r="C4629" s="20"/>
      <c r="D4629" s="20"/>
      <c r="E4629" s="19"/>
      <c r="F4629" s="20"/>
      <c r="G4629" s="20"/>
      <c r="H4629" s="19"/>
      <c r="I4629" s="20"/>
      <c r="J4629" s="19"/>
      <c r="K4629" s="17"/>
      <c r="L4629" s="649"/>
    </row>
    <row r="4630" spans="2:12" ht="15">
      <c r="B4630" s="648" t="s">
        <v>528</v>
      </c>
      <c r="C4630" s="20"/>
      <c r="D4630" s="20"/>
      <c r="E4630" s="19">
        <v>2.8</v>
      </c>
      <c r="F4630" s="20">
        <v>14</v>
      </c>
      <c r="G4630" s="20"/>
      <c r="H4630" s="19"/>
      <c r="I4630" s="20">
        <v>2</v>
      </c>
      <c r="J4630" s="19">
        <v>2</v>
      </c>
      <c r="K4630" s="17"/>
      <c r="L4630" s="649">
        <f>PRODUCT(C4630:K4630)</f>
        <v>156.79999999999998</v>
      </c>
    </row>
    <row r="4631" spans="2:12" ht="15">
      <c r="B4631" s="648" t="s">
        <v>529</v>
      </c>
      <c r="C4631" s="20"/>
      <c r="D4631" s="20"/>
      <c r="E4631" s="19">
        <v>2.8</v>
      </c>
      <c r="F4631" s="20">
        <v>14</v>
      </c>
      <c r="G4631" s="20"/>
      <c r="H4631" s="19"/>
      <c r="I4631" s="20">
        <v>2</v>
      </c>
      <c r="J4631" s="19"/>
      <c r="K4631" s="17"/>
      <c r="L4631" s="649">
        <f t="shared" ref="L4631:L4633" si="345">PRODUCT(C4631:K4631)</f>
        <v>78.399999999999991</v>
      </c>
    </row>
    <row r="4632" spans="2:12" ht="15">
      <c r="B4632" s="648" t="s">
        <v>530</v>
      </c>
      <c r="C4632" s="20"/>
      <c r="D4632" s="20"/>
      <c r="E4632" s="19">
        <v>2.8</v>
      </c>
      <c r="F4632" s="20">
        <v>14</v>
      </c>
      <c r="G4632" s="20"/>
      <c r="H4632" s="19"/>
      <c r="I4632" s="20">
        <v>2</v>
      </c>
      <c r="J4632" s="19"/>
      <c r="K4632" s="17"/>
      <c r="L4632" s="649">
        <f t="shared" si="345"/>
        <v>78.399999999999991</v>
      </c>
    </row>
    <row r="4633" spans="2:12" ht="15">
      <c r="B4633" s="648" t="s">
        <v>526</v>
      </c>
      <c r="C4633" s="20">
        <v>6</v>
      </c>
      <c r="D4633" s="20"/>
      <c r="E4633" s="19"/>
      <c r="F4633" s="20"/>
      <c r="G4633" s="20"/>
      <c r="H4633" s="19"/>
      <c r="I4633" s="20"/>
      <c r="J4633" s="19">
        <v>4</v>
      </c>
      <c r="K4633" s="17"/>
      <c r="L4633" s="649">
        <f t="shared" si="345"/>
        <v>24</v>
      </c>
    </row>
    <row r="4634" spans="2:12" ht="15">
      <c r="B4634" s="648"/>
      <c r="C4634" s="20"/>
      <c r="D4634" s="20"/>
      <c r="E4634" s="19"/>
      <c r="F4634" s="20"/>
      <c r="G4634" s="20"/>
      <c r="H4634" s="19"/>
      <c r="I4634" s="20"/>
      <c r="J4634" s="19"/>
      <c r="K4634" s="17"/>
      <c r="L4634" s="649"/>
    </row>
    <row r="4635" spans="2:12" ht="15.75">
      <c r="B4635" s="981"/>
      <c r="C4635" s="982"/>
      <c r="D4635" s="982"/>
      <c r="E4635" s="982"/>
      <c r="F4635" s="982"/>
      <c r="G4635" s="982"/>
      <c r="H4635" s="982"/>
      <c r="I4635" s="982"/>
      <c r="J4635" s="982"/>
      <c r="K4635" s="982"/>
      <c r="L4635" s="983"/>
    </row>
    <row r="4636" spans="2:12" ht="15.75">
      <c r="B4636" s="756"/>
      <c r="C4636" s="757"/>
      <c r="D4636" s="757"/>
      <c r="E4636" s="757"/>
      <c r="F4636" s="757"/>
      <c r="G4636" s="757"/>
      <c r="H4636" s="757"/>
      <c r="I4636" s="757"/>
      <c r="J4636" s="757"/>
      <c r="K4636" s="757"/>
      <c r="L4636" s="758"/>
    </row>
    <row r="4637" spans="2:12" ht="15.6" customHeight="1">
      <c r="B4637" s="638" t="s">
        <v>398</v>
      </c>
      <c r="C4637" s="8">
        <v>9</v>
      </c>
      <c r="D4637" s="1008" t="s">
        <v>1032</v>
      </c>
      <c r="E4637" s="1009"/>
      <c r="F4637" s="1009"/>
      <c r="G4637" s="1009"/>
      <c r="H4637" s="1009"/>
      <c r="I4637" s="1009"/>
      <c r="J4637" s="1009"/>
      <c r="K4637" s="1009"/>
      <c r="L4637" s="1010"/>
    </row>
    <row r="4638" spans="2:12" ht="15">
      <c r="B4638" s="640"/>
      <c r="C4638" s="579"/>
      <c r="D4638" s="579"/>
      <c r="E4638" s="579"/>
      <c r="F4638" s="579"/>
      <c r="G4638" s="579"/>
      <c r="H4638" s="579"/>
      <c r="I4638" s="579"/>
      <c r="J4638" s="579"/>
      <c r="K4638" s="579"/>
      <c r="L4638" s="641"/>
    </row>
    <row r="4639" spans="2:12" ht="31.5">
      <c r="B4639" s="642" t="s">
        <v>399</v>
      </c>
      <c r="C4639" s="8">
        <f>+'PROPUESTA ECONOMICA(Proponente)'!C538</f>
        <v>9.1199999999999992</v>
      </c>
      <c r="D4639" s="12" t="str">
        <f>+VLOOKUP('MEMORIAS DE CANTIDADES'!C4639,'PROPUESTA ECONOMICA(Proponente)'!$C$379:$H$661,5,FALSE)</f>
        <v xml:space="preserve">Suministro e instalación de Media Caña en Granito Pulido 10cm </v>
      </c>
      <c r="E4639" s="13"/>
      <c r="F4639" s="12"/>
      <c r="G4639" s="12"/>
      <c r="H4639" s="12"/>
      <c r="I4639" s="11" t="s">
        <v>400</v>
      </c>
      <c r="J4639" s="12" t="str">
        <f>+VLOOKUP('MEMORIAS DE CANTIDADES'!C4639,'PROPUESTA ECONOMICA(Proponente)'!$C$379:$H$661,6,FALSE)</f>
        <v>ml</v>
      </c>
      <c r="K4639" s="11" t="s">
        <v>401</v>
      </c>
      <c r="L4639" s="643">
        <f>SUM(L4640:L4669)</f>
        <v>369.58</v>
      </c>
    </row>
    <row r="4640" spans="2:12" ht="15">
      <c r="B4640" s="644"/>
      <c r="C4640" s="16"/>
      <c r="D4640" s="15"/>
      <c r="E4640" s="15"/>
      <c r="F4640" s="15"/>
      <c r="G4640" s="15"/>
      <c r="H4640" s="15"/>
      <c r="I4640" s="15"/>
      <c r="J4640" s="15"/>
      <c r="K4640" s="17"/>
      <c r="L4640" s="645"/>
    </row>
    <row r="4641" spans="2:12" ht="47.25">
      <c r="B4641" s="646" t="s">
        <v>402</v>
      </c>
      <c r="C4641" s="18" t="s">
        <v>403</v>
      </c>
      <c r="D4641" s="18" t="s">
        <v>404</v>
      </c>
      <c r="E4641" s="18" t="s">
        <v>405</v>
      </c>
      <c r="F4641" s="18" t="s">
        <v>406</v>
      </c>
      <c r="G4641" s="18" t="s">
        <v>407</v>
      </c>
      <c r="H4641" s="5" t="s">
        <v>408</v>
      </c>
      <c r="I4641" s="18" t="s">
        <v>409</v>
      </c>
      <c r="J4641" s="5" t="s">
        <v>410</v>
      </c>
      <c r="K4641" s="5" t="s">
        <v>411</v>
      </c>
      <c r="L4641" s="647" t="s">
        <v>412</v>
      </c>
    </row>
    <row r="4642" spans="2:12" ht="15.75">
      <c r="B4642" s="759" t="s">
        <v>479</v>
      </c>
      <c r="C4642" s="19"/>
      <c r="D4642" s="19"/>
      <c r="E4642" s="19"/>
      <c r="F4642" s="19"/>
      <c r="G4642" s="20"/>
      <c r="H4642" s="68"/>
      <c r="I4642" s="17"/>
      <c r="J4642" s="28"/>
      <c r="K4642" s="17"/>
      <c r="L4642" s="649"/>
    </row>
    <row r="4643" spans="2:12" ht="15">
      <c r="B4643" s="769" t="s">
        <v>541</v>
      </c>
      <c r="C4643" s="20"/>
      <c r="D4643" s="20"/>
      <c r="E4643" s="19"/>
      <c r="F4643" s="39">
        <f>37.74-0.9-0.9</f>
        <v>35.940000000000005</v>
      </c>
      <c r="G4643" s="20"/>
      <c r="H4643" s="362"/>
      <c r="I4643" s="20"/>
      <c r="J4643" s="69">
        <v>2</v>
      </c>
      <c r="K4643" s="17"/>
      <c r="L4643" s="649">
        <f t="shared" ref="L4643:L4648" si="346">PRODUCT(C4643:K4643)</f>
        <v>71.88000000000001</v>
      </c>
    </row>
    <row r="4644" spans="2:12" ht="15">
      <c r="B4644" s="769" t="s">
        <v>542</v>
      </c>
      <c r="C4644" s="20"/>
      <c r="D4644" s="20"/>
      <c r="E4644" s="19"/>
      <c r="F4644" s="39">
        <v>4.8</v>
      </c>
      <c r="G4644" s="20"/>
      <c r="H4644" s="844"/>
      <c r="I4644" s="20"/>
      <c r="J4644" s="19">
        <v>2</v>
      </c>
      <c r="K4644" s="17"/>
      <c r="L4644" s="649">
        <f t="shared" si="346"/>
        <v>9.6</v>
      </c>
    </row>
    <row r="4645" spans="2:12" ht="15">
      <c r="B4645" s="769" t="s">
        <v>543</v>
      </c>
      <c r="C4645" s="20"/>
      <c r="D4645" s="20"/>
      <c r="E4645" s="19"/>
      <c r="F4645" s="39">
        <v>7.8</v>
      </c>
      <c r="G4645" s="20"/>
      <c r="H4645" s="844"/>
      <c r="I4645" s="20"/>
      <c r="J4645" s="19">
        <v>2</v>
      </c>
      <c r="K4645" s="17"/>
      <c r="L4645" s="649">
        <f t="shared" si="346"/>
        <v>15.6</v>
      </c>
    </row>
    <row r="4646" spans="2:12" ht="15">
      <c r="B4646" s="769" t="s">
        <v>544</v>
      </c>
      <c r="C4646" s="20"/>
      <c r="D4646" s="20"/>
      <c r="E4646" s="19"/>
      <c r="F4646" s="39">
        <f>37.58-1.8</f>
        <v>35.78</v>
      </c>
      <c r="G4646" s="20"/>
      <c r="H4646" s="844"/>
      <c r="I4646" s="20"/>
      <c r="J4646" s="19">
        <v>2</v>
      </c>
      <c r="K4646" s="17"/>
      <c r="L4646" s="649">
        <f t="shared" si="346"/>
        <v>71.56</v>
      </c>
    </row>
    <row r="4647" spans="2:12" ht="15">
      <c r="B4647" s="769" t="s">
        <v>542</v>
      </c>
      <c r="C4647" s="20"/>
      <c r="D4647" s="20"/>
      <c r="E4647" s="19"/>
      <c r="F4647" s="39">
        <v>4.78</v>
      </c>
      <c r="G4647" s="20"/>
      <c r="H4647" s="844"/>
      <c r="I4647" s="20"/>
      <c r="J4647" s="19">
        <v>2</v>
      </c>
      <c r="K4647" s="17"/>
      <c r="L4647" s="649">
        <f t="shared" si="346"/>
        <v>9.56</v>
      </c>
    </row>
    <row r="4648" spans="2:12" ht="15">
      <c r="B4648" s="769" t="s">
        <v>543</v>
      </c>
      <c r="C4648" s="20"/>
      <c r="D4648" s="20"/>
      <c r="E4648" s="19"/>
      <c r="F4648" s="39">
        <v>7.8</v>
      </c>
      <c r="G4648" s="20"/>
      <c r="H4648" s="844"/>
      <c r="I4648" s="20"/>
      <c r="J4648" s="19">
        <v>2</v>
      </c>
      <c r="K4648" s="17"/>
      <c r="L4648" s="649">
        <f t="shared" si="346"/>
        <v>15.6</v>
      </c>
    </row>
    <row r="4649" spans="2:12" ht="15">
      <c r="B4649" s="655"/>
      <c r="C4649" s="20"/>
      <c r="D4649" s="20"/>
      <c r="E4649" s="20"/>
      <c r="F4649" s="39"/>
      <c r="G4649" s="20"/>
      <c r="H4649" s="844"/>
      <c r="I4649" s="20"/>
      <c r="J4649" s="19"/>
      <c r="K4649" s="17"/>
      <c r="L4649" s="649"/>
    </row>
    <row r="4650" spans="2:12" ht="15">
      <c r="B4650" s="769"/>
      <c r="C4650" s="20"/>
      <c r="D4650" s="20"/>
      <c r="E4650" s="19"/>
      <c r="F4650" s="39"/>
      <c r="G4650" s="20"/>
      <c r="H4650" s="844"/>
      <c r="I4650" s="20"/>
      <c r="J4650" s="19"/>
      <c r="K4650" s="17"/>
      <c r="L4650" s="649"/>
    </row>
    <row r="4651" spans="2:12" ht="15.75">
      <c r="B4651" s="770" t="s">
        <v>545</v>
      </c>
      <c r="C4651" s="20"/>
      <c r="D4651" s="20"/>
      <c r="E4651" s="19"/>
      <c r="F4651" s="39"/>
      <c r="G4651" s="20"/>
      <c r="H4651" s="844"/>
      <c r="I4651" s="20"/>
      <c r="J4651" s="19"/>
      <c r="K4651" s="17"/>
      <c r="L4651" s="649"/>
    </row>
    <row r="4652" spans="2:12" ht="15">
      <c r="B4652" s="769" t="s">
        <v>438</v>
      </c>
      <c r="C4652" s="39"/>
      <c r="D4652" s="20"/>
      <c r="E4652" s="39"/>
      <c r="F4652" s="39"/>
      <c r="G4652" s="20"/>
      <c r="H4652" s="844"/>
      <c r="I4652" s="20"/>
      <c r="J4652" s="19"/>
      <c r="K4652" s="17"/>
      <c r="L4652" s="649"/>
    </row>
    <row r="4653" spans="2:12" ht="15">
      <c r="B4653" s="769" t="s">
        <v>549</v>
      </c>
      <c r="C4653" s="20"/>
      <c r="D4653" s="20"/>
      <c r="E4653" s="19"/>
      <c r="F4653" s="39">
        <f>8.46-0.9</f>
        <v>7.5600000000000005</v>
      </c>
      <c r="G4653" s="20"/>
      <c r="H4653" s="844"/>
      <c r="I4653" s="20"/>
      <c r="J4653" s="19"/>
      <c r="K4653" s="17"/>
      <c r="L4653" s="649">
        <f>PRODUCT(C4653:K4653)</f>
        <v>7.5600000000000005</v>
      </c>
    </row>
    <row r="4654" spans="2:12" ht="15">
      <c r="B4654" s="769" t="s">
        <v>535</v>
      </c>
      <c r="C4654" s="20"/>
      <c r="D4654" s="20"/>
      <c r="E4654" s="19"/>
      <c r="F4654" s="39">
        <f>16.8-0.9+17.2</f>
        <v>33.1</v>
      </c>
      <c r="G4654" s="20"/>
      <c r="H4654" s="844"/>
      <c r="I4654" s="20"/>
      <c r="J4654" s="19"/>
      <c r="K4654" s="17"/>
      <c r="L4654" s="649">
        <f>PRODUCT(C4654:K4654)</f>
        <v>33.1</v>
      </c>
    </row>
    <row r="4655" spans="2:12" ht="15">
      <c r="B4655" s="769" t="s">
        <v>550</v>
      </c>
      <c r="C4655" s="20"/>
      <c r="D4655" s="20"/>
      <c r="E4655" s="19"/>
      <c r="F4655" s="39">
        <v>7.5</v>
      </c>
      <c r="G4655" s="20"/>
      <c r="H4655" s="844"/>
      <c r="I4655" s="20"/>
      <c r="J4655" s="19"/>
      <c r="K4655" s="17"/>
      <c r="L4655" s="649">
        <f>PRODUCT(C4655:K4655)</f>
        <v>7.5</v>
      </c>
    </row>
    <row r="4656" spans="2:12" ht="15">
      <c r="B4656" s="769"/>
      <c r="C4656" s="20"/>
      <c r="D4656" s="20"/>
      <c r="E4656" s="19"/>
      <c r="F4656" s="39"/>
      <c r="G4656" s="20"/>
      <c r="H4656" s="844"/>
      <c r="I4656" s="20"/>
      <c r="J4656" s="19"/>
      <c r="K4656" s="17"/>
      <c r="L4656" s="649"/>
    </row>
    <row r="4657" spans="2:12" ht="15">
      <c r="B4657" s="769" t="s">
        <v>547</v>
      </c>
      <c r="D4657" s="20"/>
      <c r="E4657" s="39"/>
      <c r="F4657" s="39"/>
      <c r="G4657" s="39"/>
      <c r="K4657" s="17"/>
      <c r="L4657" s="649"/>
    </row>
    <row r="4658" spans="2:12" ht="15">
      <c r="B4658" s="769" t="s">
        <v>549</v>
      </c>
      <c r="C4658" s="20"/>
      <c r="D4658" s="20"/>
      <c r="E4658" s="19"/>
      <c r="F4658" s="39">
        <f>7.9-0.7</f>
        <v>7.2</v>
      </c>
      <c r="G4658" s="20"/>
      <c r="H4658" s="844"/>
      <c r="I4658" s="20"/>
      <c r="J4658" s="19">
        <v>2</v>
      </c>
      <c r="K4658" s="17"/>
      <c r="L4658" s="649">
        <f>PRODUCT(C4658:K4658)</f>
        <v>14.4</v>
      </c>
    </row>
    <row r="4659" spans="2:12" ht="15">
      <c r="B4659" s="769" t="s">
        <v>535</v>
      </c>
      <c r="C4659" s="20"/>
      <c r="D4659" s="20"/>
      <c r="E4659" s="19"/>
      <c r="F4659" s="39">
        <f>16.9-0.9</f>
        <v>15.999999999999998</v>
      </c>
      <c r="G4659" s="20"/>
      <c r="H4659" s="844"/>
      <c r="I4659" s="20"/>
      <c r="J4659" s="19">
        <v>2</v>
      </c>
      <c r="K4659" s="17"/>
      <c r="L4659" s="649">
        <f>PRODUCT(C4659:K4659)</f>
        <v>31.999999999999996</v>
      </c>
    </row>
    <row r="4660" spans="2:12" ht="15">
      <c r="B4660" s="769" t="s">
        <v>550</v>
      </c>
      <c r="C4660" s="20"/>
      <c r="D4660" s="20"/>
      <c r="E4660" s="19"/>
      <c r="F4660" s="39">
        <f>13.71-0.9+6.2</f>
        <v>19.010000000000002</v>
      </c>
      <c r="G4660" s="20"/>
      <c r="H4660" s="844"/>
      <c r="I4660" s="20"/>
      <c r="J4660" s="19">
        <v>2</v>
      </c>
      <c r="K4660" s="17"/>
      <c r="L4660" s="649">
        <f>PRODUCT(C4660:K4660)</f>
        <v>38.020000000000003</v>
      </c>
    </row>
    <row r="4661" spans="2:12" ht="15">
      <c r="B4661" s="650"/>
      <c r="C4661" s="20"/>
      <c r="D4661" s="20"/>
      <c r="E4661" s="19"/>
      <c r="F4661" s="20"/>
      <c r="G4661" s="20"/>
      <c r="H4661" s="844"/>
      <c r="I4661" s="20"/>
      <c r="J4661" s="19"/>
      <c r="K4661" s="17"/>
      <c r="L4661" s="649"/>
    </row>
    <row r="4662" spans="2:12" ht="15.75">
      <c r="B4662" s="755" t="s">
        <v>852</v>
      </c>
      <c r="C4662" s="20"/>
      <c r="D4662" s="20"/>
      <c r="E4662" s="19"/>
      <c r="F4662" s="20"/>
      <c r="G4662" s="20"/>
      <c r="H4662" s="844"/>
      <c r="I4662" s="20"/>
      <c r="J4662" s="19"/>
      <c r="K4662" s="17"/>
      <c r="L4662" s="649"/>
    </row>
    <row r="4663" spans="2:12" ht="15">
      <c r="B4663" s="751" t="s">
        <v>853</v>
      </c>
      <c r="C4663" s="20"/>
      <c r="D4663" s="20"/>
      <c r="E4663" s="19"/>
      <c r="F4663" s="20">
        <v>23.73</v>
      </c>
      <c r="G4663" s="20"/>
      <c r="H4663" s="844"/>
      <c r="I4663" s="20"/>
      <c r="J4663" s="19">
        <v>2</v>
      </c>
      <c r="K4663" s="17"/>
      <c r="L4663" s="649"/>
    </row>
    <row r="4664" spans="2:12" ht="15">
      <c r="B4664" s="751" t="s">
        <v>823</v>
      </c>
      <c r="C4664" s="20"/>
      <c r="D4664" s="20"/>
      <c r="E4664" s="19"/>
      <c r="F4664" s="20">
        <v>31.58</v>
      </c>
      <c r="G4664" s="20"/>
      <c r="H4664" s="844"/>
      <c r="I4664" s="20"/>
      <c r="J4664" s="19">
        <v>2</v>
      </c>
      <c r="K4664" s="17"/>
      <c r="L4664" s="649"/>
    </row>
    <row r="4665" spans="2:12" ht="15">
      <c r="B4665" s="751" t="s">
        <v>854</v>
      </c>
      <c r="C4665" s="20"/>
      <c r="D4665" s="20"/>
      <c r="E4665" s="19"/>
      <c r="F4665" s="20">
        <v>31.58</v>
      </c>
      <c r="G4665" s="20"/>
      <c r="H4665" s="844"/>
      <c r="I4665" s="20"/>
      <c r="J4665" s="19">
        <v>2</v>
      </c>
      <c r="K4665" s="17"/>
      <c r="L4665" s="649"/>
    </row>
    <row r="4666" spans="2:12" ht="15">
      <c r="B4666" s="648"/>
      <c r="C4666" s="20"/>
      <c r="D4666" s="20"/>
      <c r="E4666" s="19"/>
      <c r="F4666" s="20"/>
      <c r="G4666" s="20"/>
      <c r="H4666" s="844"/>
      <c r="I4666" s="20"/>
      <c r="J4666" s="19"/>
      <c r="K4666" s="17"/>
      <c r="L4666" s="649"/>
    </row>
    <row r="4667" spans="2:12" ht="15">
      <c r="B4667" s="648" t="s">
        <v>528</v>
      </c>
      <c r="C4667" s="20"/>
      <c r="D4667" s="20"/>
      <c r="E4667" s="19"/>
      <c r="F4667" s="20">
        <v>10.8</v>
      </c>
      <c r="G4667" s="20"/>
      <c r="H4667" s="844"/>
      <c r="I4667" s="20"/>
      <c r="J4667" s="19">
        <v>2</v>
      </c>
      <c r="K4667" s="17"/>
      <c r="L4667" s="649">
        <f>PRODUCT(C4667:K4667)</f>
        <v>21.6</v>
      </c>
    </row>
    <row r="4668" spans="2:12" ht="15">
      <c r="B4668" s="648" t="s">
        <v>529</v>
      </c>
      <c r="C4668" s="20"/>
      <c r="D4668" s="20"/>
      <c r="E4668" s="19"/>
      <c r="F4668" s="20">
        <v>10.8</v>
      </c>
      <c r="G4668" s="20"/>
      <c r="H4668" s="844"/>
      <c r="I4668" s="20"/>
      <c r="J4668" s="19"/>
      <c r="K4668" s="17"/>
      <c r="L4668" s="649">
        <f t="shared" ref="L4668:L4669" si="347">PRODUCT(C4668:K4668)</f>
        <v>10.8</v>
      </c>
    </row>
    <row r="4669" spans="2:12" ht="15">
      <c r="B4669" s="648" t="s">
        <v>530</v>
      </c>
      <c r="C4669" s="20"/>
      <c r="D4669" s="20"/>
      <c r="E4669" s="19"/>
      <c r="F4669" s="20">
        <v>10.8</v>
      </c>
      <c r="G4669" s="20"/>
      <c r="H4669" s="19"/>
      <c r="I4669" s="20"/>
      <c r="J4669" s="19"/>
      <c r="K4669" s="17"/>
      <c r="L4669" s="649">
        <f t="shared" si="347"/>
        <v>10.8</v>
      </c>
    </row>
    <row r="4670" spans="2:12" ht="15.75">
      <c r="B4670" s="756"/>
      <c r="C4670" s="757"/>
      <c r="D4670" s="757"/>
      <c r="E4670" s="757"/>
      <c r="F4670" s="757"/>
      <c r="G4670" s="757"/>
      <c r="H4670" s="757"/>
      <c r="I4670" s="757"/>
      <c r="J4670" s="757"/>
      <c r="K4670" s="757"/>
      <c r="L4670" s="758"/>
    </row>
    <row r="4671" spans="2:12">
      <c r="B4671" s="651"/>
      <c r="L4671" s="652"/>
    </row>
    <row r="4672" spans="2:12" ht="15.75">
      <c r="B4672" s="638" t="s">
        <v>398</v>
      </c>
      <c r="C4672" s="8">
        <v>10</v>
      </c>
      <c r="D4672" s="1008" t="s">
        <v>1033</v>
      </c>
      <c r="E4672" s="1009"/>
      <c r="F4672" s="1009"/>
      <c r="G4672" s="1009"/>
      <c r="H4672" s="1009"/>
      <c r="I4672" s="1009"/>
      <c r="J4672" s="1014"/>
      <c r="K4672" s="27"/>
      <c r="L4672" s="750"/>
    </row>
    <row r="4673" spans="2:12" ht="15">
      <c r="B4673" s="1005"/>
      <c r="C4673" s="1006"/>
      <c r="D4673" s="1006"/>
      <c r="E4673" s="1006"/>
      <c r="F4673" s="1006"/>
      <c r="G4673" s="1006"/>
      <c r="H4673" s="1006"/>
      <c r="I4673" s="1006"/>
      <c r="J4673" s="1006"/>
      <c r="K4673" s="1006"/>
      <c r="L4673" s="1007"/>
    </row>
    <row r="4674" spans="2:12" ht="78.75">
      <c r="B4674" s="642" t="s">
        <v>399</v>
      </c>
      <c r="C4674" s="25">
        <f>+'PROPUESTA ECONOMICA(Proponente)'!C541</f>
        <v>10.1</v>
      </c>
      <c r="D4674" s="12" t="str">
        <f>+VLOOKUP('MEMORIAS DE CANTIDADES'!C4674,'PROPUESTA ECONOMICA(Proponente)'!$C$379:$H$661,5,FALSE)</f>
        <v xml:space="preserve">Ventana Corrediza NC300 en perfilería de aluminio extruido 6063-T5 con acabado Polycron Anodic clear o similar, con vidrios en cristal incoloro de 6mm templado.. Sistema con 76 mm de profundidad del marco. </v>
      </c>
      <c r="E4674" s="13"/>
      <c r="F4674" s="12"/>
      <c r="G4674" s="12"/>
      <c r="H4674" s="12"/>
      <c r="I4674" s="11" t="s">
        <v>400</v>
      </c>
      <c r="J4674" s="12" t="str">
        <f>+VLOOKUP('MEMORIAS DE CANTIDADES'!C4674,'PROPUESTA ECONOMICA(Proponente)'!$C$379:$H$661,6,FALSE)</f>
        <v>m2</v>
      </c>
      <c r="K4674" s="11" t="s">
        <v>401</v>
      </c>
      <c r="L4674" s="643">
        <f>SUM(L4675:L4692)</f>
        <v>40.86999999999999</v>
      </c>
    </row>
    <row r="4675" spans="2:12" ht="15">
      <c r="B4675" s="644"/>
      <c r="C4675" s="16"/>
      <c r="D4675" s="15"/>
      <c r="E4675" s="15"/>
      <c r="F4675" s="15"/>
      <c r="G4675" s="15"/>
      <c r="H4675" s="15"/>
      <c r="I4675" s="15"/>
      <c r="J4675" s="15"/>
      <c r="K4675" s="17"/>
      <c r="L4675" s="645"/>
    </row>
    <row r="4676" spans="2:12" ht="47.25">
      <c r="B4676" s="646" t="s">
        <v>402</v>
      </c>
      <c r="C4676" s="18" t="s">
        <v>403</v>
      </c>
      <c r="D4676" s="18" t="s">
        <v>404</v>
      </c>
      <c r="E4676" s="18" t="s">
        <v>405</v>
      </c>
      <c r="F4676" s="18" t="s">
        <v>406</v>
      </c>
      <c r="G4676" s="18" t="s">
        <v>407</v>
      </c>
      <c r="H4676" s="5" t="s">
        <v>408</v>
      </c>
      <c r="I4676" s="18" t="s">
        <v>409</v>
      </c>
      <c r="J4676" s="5" t="s">
        <v>410</v>
      </c>
      <c r="K4676" s="5" t="s">
        <v>411</v>
      </c>
      <c r="L4676" s="647" t="s">
        <v>412</v>
      </c>
    </row>
    <row r="4677" spans="2:12" ht="15">
      <c r="B4677" s="648" t="s">
        <v>580</v>
      </c>
      <c r="C4677" s="19"/>
      <c r="D4677" s="19"/>
      <c r="E4677" s="20">
        <v>0.4</v>
      </c>
      <c r="F4677" s="20"/>
      <c r="G4677" s="20"/>
      <c r="H4677" s="68"/>
      <c r="I4677" s="28">
        <v>6</v>
      </c>
      <c r="J4677" s="19">
        <v>2</v>
      </c>
      <c r="K4677" s="17"/>
      <c r="L4677" s="649">
        <f t="shared" ref="L4677:L4686" si="348">PRODUCT(C4677:K4677)</f>
        <v>4.8000000000000007</v>
      </c>
    </row>
    <row r="4678" spans="2:12" ht="15">
      <c r="B4678" s="650" t="s">
        <v>853</v>
      </c>
      <c r="C4678" s="20"/>
      <c r="D4678" s="20"/>
      <c r="E4678" s="20">
        <v>0.4</v>
      </c>
      <c r="F4678" s="20">
        <v>2</v>
      </c>
      <c r="G4678" s="20"/>
      <c r="H4678" s="20"/>
      <c r="I4678" s="20">
        <v>2</v>
      </c>
      <c r="J4678" s="19">
        <v>2</v>
      </c>
      <c r="K4678" s="17"/>
      <c r="L4678" s="649">
        <f t="shared" si="348"/>
        <v>3.2</v>
      </c>
    </row>
    <row r="4679" spans="2:12" ht="15">
      <c r="B4679" s="650" t="s">
        <v>823</v>
      </c>
      <c r="C4679" s="20"/>
      <c r="D4679" s="20"/>
      <c r="E4679" s="20">
        <v>0.4</v>
      </c>
      <c r="F4679" s="20">
        <v>2</v>
      </c>
      <c r="G4679" s="20"/>
      <c r="H4679" s="20"/>
      <c r="I4679" s="20">
        <v>3</v>
      </c>
      <c r="J4679" s="19">
        <v>2</v>
      </c>
      <c r="K4679" s="17"/>
      <c r="L4679" s="649">
        <f t="shared" si="348"/>
        <v>4.8000000000000007</v>
      </c>
    </row>
    <row r="4680" spans="2:12" ht="15">
      <c r="B4680" s="650" t="s">
        <v>854</v>
      </c>
      <c r="C4680" s="20"/>
      <c r="D4680" s="20"/>
      <c r="E4680" s="20">
        <v>0.4</v>
      </c>
      <c r="F4680" s="20">
        <v>2</v>
      </c>
      <c r="G4680" s="20"/>
      <c r="H4680" s="20"/>
      <c r="I4680" s="20">
        <v>3</v>
      </c>
      <c r="J4680" s="19">
        <v>2</v>
      </c>
      <c r="K4680" s="17"/>
      <c r="L4680" s="649">
        <f t="shared" si="348"/>
        <v>4.8000000000000007</v>
      </c>
    </row>
    <row r="4681" spans="2:12" ht="15">
      <c r="B4681" s="650" t="s">
        <v>438</v>
      </c>
      <c r="C4681" s="20"/>
      <c r="D4681" s="20"/>
      <c r="E4681" s="20">
        <v>1.3</v>
      </c>
      <c r="F4681" s="20">
        <v>2.5</v>
      </c>
      <c r="G4681" s="20"/>
      <c r="H4681" s="20"/>
      <c r="I4681" s="20"/>
      <c r="J4681" s="19"/>
      <c r="K4681" s="17"/>
      <c r="L4681" s="649">
        <f t="shared" si="348"/>
        <v>3.25</v>
      </c>
    </row>
    <row r="4682" spans="2:12" ht="15" customHeight="1">
      <c r="B4682" s="650"/>
      <c r="C4682" s="20"/>
      <c r="D4682" s="20"/>
      <c r="E4682" s="20">
        <v>1.3</v>
      </c>
      <c r="F4682" s="20">
        <v>2.2999999999999998</v>
      </c>
      <c r="G4682" s="20"/>
      <c r="H4682" s="20"/>
      <c r="I4682" s="20"/>
      <c r="J4682" s="19"/>
      <c r="K4682" s="17"/>
      <c r="L4682" s="649">
        <f t="shared" si="348"/>
        <v>2.9899999999999998</v>
      </c>
    </row>
    <row r="4683" spans="2:12" ht="15" customHeight="1">
      <c r="B4683" s="650"/>
      <c r="C4683" s="20"/>
      <c r="D4683" s="20"/>
      <c r="E4683" s="20">
        <v>0.3</v>
      </c>
      <c r="F4683" s="20">
        <v>1.5</v>
      </c>
      <c r="G4683" s="20"/>
      <c r="H4683" s="20"/>
      <c r="I4683" s="20"/>
      <c r="J4683" s="19"/>
      <c r="K4683" s="17"/>
      <c r="L4683" s="649">
        <f t="shared" si="348"/>
        <v>0.44999999999999996</v>
      </c>
    </row>
    <row r="4684" spans="2:12" ht="15" customHeight="1">
      <c r="B4684" s="650" t="s">
        <v>464</v>
      </c>
      <c r="C4684" s="20"/>
      <c r="D4684" s="20"/>
      <c r="E4684" s="20">
        <v>1.3</v>
      </c>
      <c r="F4684" s="20">
        <v>2.5</v>
      </c>
      <c r="G4684" s="20"/>
      <c r="H4684" s="20"/>
      <c r="I4684" s="20"/>
      <c r="J4684" s="19">
        <v>2</v>
      </c>
      <c r="K4684" s="17"/>
      <c r="L4684" s="649">
        <f t="shared" si="348"/>
        <v>6.5</v>
      </c>
    </row>
    <row r="4685" spans="2:12" ht="15" customHeight="1">
      <c r="B4685" s="650"/>
      <c r="C4685" s="20"/>
      <c r="D4685" s="20"/>
      <c r="E4685" s="20">
        <v>1.3</v>
      </c>
      <c r="F4685" s="20">
        <v>2.2999999999999998</v>
      </c>
      <c r="G4685" s="20"/>
      <c r="H4685" s="19"/>
      <c r="I4685" s="20"/>
      <c r="J4685" s="19">
        <v>2</v>
      </c>
      <c r="K4685" s="17"/>
      <c r="L4685" s="649">
        <f t="shared" si="348"/>
        <v>5.9799999999999995</v>
      </c>
    </row>
    <row r="4686" spans="2:12" ht="15">
      <c r="B4686" s="650"/>
      <c r="C4686" s="20"/>
      <c r="D4686" s="20"/>
      <c r="E4686" s="20">
        <v>0.3</v>
      </c>
      <c r="F4686" s="20">
        <v>1.5</v>
      </c>
      <c r="G4686" s="20"/>
      <c r="H4686" s="19"/>
      <c r="I4686" s="20"/>
      <c r="J4686" s="19">
        <v>2</v>
      </c>
      <c r="K4686" s="17"/>
      <c r="L4686" s="649">
        <f t="shared" si="348"/>
        <v>0.89999999999999991</v>
      </c>
    </row>
    <row r="4687" spans="2:12" ht="15">
      <c r="B4687" s="842"/>
      <c r="C4687" s="459"/>
      <c r="D4687" s="459"/>
      <c r="E4687" s="459"/>
      <c r="F4687" s="459"/>
      <c r="G4687" s="459"/>
      <c r="H4687" s="460"/>
      <c r="I4687" s="459"/>
      <c r="J4687" s="460"/>
      <c r="K4687" s="461"/>
      <c r="L4687" s="761"/>
    </row>
    <row r="4688" spans="2:12" ht="15">
      <c r="B4688" s="648" t="s">
        <v>528</v>
      </c>
      <c r="C4688" s="20"/>
      <c r="D4688" s="20">
        <v>2</v>
      </c>
      <c r="E4688" s="20">
        <v>0.4</v>
      </c>
      <c r="F4688" s="20"/>
      <c r="G4688" s="20"/>
      <c r="H4688" s="20"/>
      <c r="I4688" s="20"/>
      <c r="J4688" s="19"/>
      <c r="K4688" s="28">
        <v>2</v>
      </c>
      <c r="L4688" s="649">
        <f>PRODUCT(C4688:K4688)</f>
        <v>1.6</v>
      </c>
    </row>
    <row r="4689" spans="2:12" ht="15">
      <c r="B4689" s="648" t="s">
        <v>529</v>
      </c>
      <c r="C4689" s="20"/>
      <c r="D4689" s="20">
        <v>2</v>
      </c>
      <c r="E4689" s="20">
        <v>0.4</v>
      </c>
      <c r="F4689" s="20"/>
      <c r="G4689" s="20"/>
      <c r="H4689" s="19"/>
      <c r="I4689" s="20"/>
      <c r="J4689" s="19"/>
      <c r="K4689" s="28">
        <v>1</v>
      </c>
      <c r="L4689" s="649">
        <f>PRODUCT(C4689:K4689)</f>
        <v>0.8</v>
      </c>
    </row>
    <row r="4690" spans="2:12" ht="15">
      <c r="B4690" s="648" t="s">
        <v>530</v>
      </c>
      <c r="C4690" s="20"/>
      <c r="D4690" s="20">
        <v>2</v>
      </c>
      <c r="E4690" s="20">
        <v>0.4</v>
      </c>
      <c r="F4690" s="20"/>
      <c r="G4690" s="20"/>
      <c r="H4690" s="19"/>
      <c r="I4690" s="20"/>
      <c r="J4690" s="24"/>
      <c r="K4690" s="28">
        <v>1</v>
      </c>
      <c r="L4690" s="649">
        <f>PRODUCT(C4690:K4690)</f>
        <v>0.8</v>
      </c>
    </row>
    <row r="4691" spans="2:12" ht="15">
      <c r="B4691" s="842"/>
      <c r="C4691" s="459"/>
      <c r="D4691" s="459"/>
      <c r="E4691" s="459"/>
      <c r="F4691" s="459"/>
      <c r="G4691" s="459"/>
      <c r="H4691" s="460"/>
      <c r="I4691" s="459"/>
      <c r="J4691" s="460"/>
      <c r="K4691" s="461"/>
      <c r="L4691" s="761"/>
    </row>
    <row r="4692" spans="2:12" ht="15.75">
      <c r="B4692" s="981">
        <v>2</v>
      </c>
      <c r="C4692" s="982"/>
      <c r="D4692" s="982"/>
      <c r="E4692" s="982"/>
      <c r="F4692" s="982"/>
      <c r="G4692" s="982"/>
      <c r="H4692" s="982"/>
      <c r="I4692" s="982"/>
      <c r="J4692" s="982"/>
      <c r="K4692" s="982"/>
      <c r="L4692" s="983"/>
    </row>
    <row r="4693" spans="2:12">
      <c r="B4693" s="651"/>
      <c r="L4693" s="652"/>
    </row>
    <row r="4694" spans="2:12" ht="15.75">
      <c r="B4694" s="638" t="s">
        <v>398</v>
      </c>
      <c r="C4694" s="8">
        <v>10</v>
      </c>
      <c r="D4694" s="1008" t="s">
        <v>1033</v>
      </c>
      <c r="E4694" s="1009"/>
      <c r="F4694" s="1009"/>
      <c r="G4694" s="1009"/>
      <c r="H4694" s="1009"/>
      <c r="I4694" s="1009"/>
      <c r="J4694" s="1014"/>
      <c r="K4694" s="27"/>
      <c r="L4694" s="750"/>
    </row>
    <row r="4695" spans="2:12" ht="15">
      <c r="B4695" s="1005"/>
      <c r="C4695" s="1006"/>
      <c r="D4695" s="1006"/>
      <c r="E4695" s="1006"/>
      <c r="F4695" s="1006"/>
      <c r="G4695" s="1006"/>
      <c r="H4695" s="1006"/>
      <c r="I4695" s="1006"/>
      <c r="J4695" s="1006"/>
      <c r="K4695" s="1006"/>
      <c r="L4695" s="1007"/>
    </row>
    <row r="4696" spans="2:12" ht="47.25">
      <c r="B4696" s="642" t="s">
        <v>399</v>
      </c>
      <c r="C4696" s="25">
        <f>+'PROPUESTA ECONOMICA(Proponente)'!C542</f>
        <v>10.199999999999999</v>
      </c>
      <c r="D4696" s="12" t="str">
        <f>+VLOOKUP('MEMORIAS DE CANTIDADES'!C4696,'PROPUESTA ECONOMICA(Proponente)'!$C$379:$H$661,5,FALSE)</f>
        <v>Puerta en aluminio P-6, diseño y dimensiones según planos. (Incluye suministro e instalación).</v>
      </c>
      <c r="E4696" s="13"/>
      <c r="F4696" s="12"/>
      <c r="G4696" s="12"/>
      <c r="H4696" s="12"/>
      <c r="I4696" s="11" t="s">
        <v>400</v>
      </c>
      <c r="J4696" s="12" t="str">
        <f>+VLOOKUP('MEMORIAS DE CANTIDADES'!C4696,'PROPUESTA ECONOMICA(Proponente)'!$C$379:$H$661,6,FALSE)</f>
        <v>Und</v>
      </c>
      <c r="K4696" s="11" t="s">
        <v>401</v>
      </c>
      <c r="L4696" s="643">
        <f>SUM(L4697:L4704)</f>
        <v>24</v>
      </c>
    </row>
    <row r="4697" spans="2:12" ht="15">
      <c r="B4697" s="644"/>
      <c r="C4697" s="16"/>
      <c r="D4697" s="15"/>
      <c r="E4697" s="15"/>
      <c r="F4697" s="15"/>
      <c r="G4697" s="15"/>
      <c r="H4697" s="15"/>
      <c r="I4697" s="15"/>
      <c r="J4697" s="15"/>
      <c r="K4697" s="17"/>
      <c r="L4697" s="645"/>
    </row>
    <row r="4698" spans="2:12" ht="47.25">
      <c r="B4698" s="646" t="s">
        <v>402</v>
      </c>
      <c r="C4698" s="18" t="s">
        <v>403</v>
      </c>
      <c r="D4698" s="18" t="s">
        <v>404</v>
      </c>
      <c r="E4698" s="18" t="s">
        <v>405</v>
      </c>
      <c r="F4698" s="18" t="s">
        <v>406</v>
      </c>
      <c r="G4698" s="18" t="s">
        <v>407</v>
      </c>
      <c r="H4698" s="5" t="s">
        <v>408</v>
      </c>
      <c r="I4698" s="18" t="s">
        <v>409</v>
      </c>
      <c r="J4698" s="5" t="s">
        <v>410</v>
      </c>
      <c r="K4698" s="5" t="s">
        <v>411</v>
      </c>
      <c r="L4698" s="647" t="s">
        <v>412</v>
      </c>
    </row>
    <row r="4699" spans="2:12" ht="15">
      <c r="B4699" s="648" t="s">
        <v>541</v>
      </c>
      <c r="C4699" s="19"/>
      <c r="D4699" s="19"/>
      <c r="E4699" s="19"/>
      <c r="F4699" s="19"/>
      <c r="G4699" s="20"/>
      <c r="H4699" s="68"/>
      <c r="I4699" s="17">
        <v>2</v>
      </c>
      <c r="J4699" s="28">
        <v>2</v>
      </c>
      <c r="K4699" s="17"/>
      <c r="L4699" s="649">
        <f>PRODUCT(C4699:K4699)</f>
        <v>4</v>
      </c>
    </row>
    <row r="4700" spans="2:12" ht="15">
      <c r="B4700" s="648" t="s">
        <v>590</v>
      </c>
      <c r="C4700" s="20"/>
      <c r="D4700" s="19"/>
      <c r="E4700" s="19"/>
      <c r="F4700" s="19"/>
      <c r="G4700" s="20"/>
      <c r="H4700" s="68"/>
      <c r="I4700" s="17">
        <v>2</v>
      </c>
      <c r="J4700" s="20">
        <v>2</v>
      </c>
      <c r="K4700" s="17"/>
      <c r="L4700" s="649">
        <f t="shared" ref="L4700:L4703" si="349">PRODUCT(C4700:K4700)</f>
        <v>4</v>
      </c>
    </row>
    <row r="4701" spans="2:12" ht="15">
      <c r="B4701" s="650" t="s">
        <v>852</v>
      </c>
      <c r="C4701" s="176"/>
      <c r="D4701" s="176"/>
      <c r="E4701" s="176"/>
      <c r="F4701" s="176"/>
      <c r="G4701" s="176"/>
      <c r="H4701" s="176"/>
      <c r="I4701" s="197">
        <v>3</v>
      </c>
      <c r="J4701" s="176">
        <v>2</v>
      </c>
      <c r="K4701" s="167"/>
      <c r="L4701" s="677">
        <f t="shared" si="349"/>
        <v>6</v>
      </c>
    </row>
    <row r="4702" spans="2:12" ht="15">
      <c r="B4702" s="650" t="s">
        <v>555</v>
      </c>
      <c r="C4702" s="20"/>
      <c r="D4702" s="20"/>
      <c r="E4702" s="20"/>
      <c r="F4702" s="20"/>
      <c r="G4702" s="20"/>
      <c r="H4702" s="19"/>
      <c r="I4702" s="20"/>
      <c r="J4702" s="20">
        <v>6</v>
      </c>
      <c r="K4702" s="17"/>
      <c r="L4702" s="649">
        <f t="shared" si="349"/>
        <v>6</v>
      </c>
    </row>
    <row r="4703" spans="2:12" ht="15">
      <c r="B4703" s="650" t="s">
        <v>882</v>
      </c>
      <c r="C4703" s="20"/>
      <c r="D4703" s="20"/>
      <c r="E4703" s="20"/>
      <c r="F4703" s="20"/>
      <c r="G4703" s="20"/>
      <c r="H4703" s="19"/>
      <c r="I4703" s="20">
        <v>2</v>
      </c>
      <c r="J4703" s="19">
        <v>2</v>
      </c>
      <c r="K4703" s="17"/>
      <c r="L4703" s="649">
        <f t="shared" si="349"/>
        <v>4</v>
      </c>
    </row>
    <row r="4704" spans="2:12" ht="15.75">
      <c r="B4704" s="981" t="s">
        <v>414</v>
      </c>
      <c r="C4704" s="982"/>
      <c r="D4704" s="982"/>
      <c r="E4704" s="982"/>
      <c r="F4704" s="982"/>
      <c r="G4704" s="982"/>
      <c r="H4704" s="982"/>
      <c r="I4704" s="982"/>
      <c r="J4704" s="982"/>
      <c r="K4704" s="982"/>
      <c r="L4704" s="983"/>
    </row>
    <row r="4705" spans="2:12" ht="15.75">
      <c r="B4705" s="756"/>
      <c r="C4705" s="757"/>
      <c r="D4705" s="757"/>
      <c r="E4705" s="757"/>
      <c r="F4705" s="757"/>
      <c r="G4705" s="757"/>
      <c r="H4705" s="757"/>
      <c r="I4705" s="757"/>
      <c r="J4705" s="757"/>
      <c r="K4705" s="757"/>
      <c r="L4705" s="758"/>
    </row>
    <row r="4706" spans="2:12" ht="15.75">
      <c r="B4706" s="638" t="s">
        <v>398</v>
      </c>
      <c r="C4706" s="8">
        <v>10</v>
      </c>
      <c r="D4706" s="1008" t="s">
        <v>1033</v>
      </c>
      <c r="E4706" s="1009"/>
      <c r="F4706" s="1009"/>
      <c r="G4706" s="1009"/>
      <c r="H4706" s="1009"/>
      <c r="I4706" s="1009"/>
      <c r="J4706" s="1014"/>
      <c r="K4706" s="27"/>
      <c r="L4706" s="750"/>
    </row>
    <row r="4707" spans="2:12" ht="15">
      <c r="B4707" s="1005"/>
      <c r="C4707" s="1006"/>
      <c r="D4707" s="1006"/>
      <c r="E4707" s="1006"/>
      <c r="F4707" s="1006"/>
      <c r="G4707" s="1006"/>
      <c r="H4707" s="1006"/>
      <c r="I4707" s="1006"/>
      <c r="J4707" s="1006"/>
      <c r="K4707" s="1006"/>
      <c r="L4707" s="1007"/>
    </row>
    <row r="4708" spans="2:12" ht="47.25">
      <c r="B4708" s="642" t="s">
        <v>399</v>
      </c>
      <c r="C4708" s="25">
        <f>+'PROPUESTA ECONOMICA(Proponente)'!C543</f>
        <v>10.3</v>
      </c>
      <c r="D4708" s="12" t="str">
        <f>+VLOOKUP('MEMORIAS DE CANTIDADES'!C4708,'PROPUESTA ECONOMICA(Proponente)'!$C$379:$H$661,5,FALSE)</f>
        <v>Puerta Lateral doble de acceso al campo en tubería metálica P-2, diseño y dimensiones según planos. Incluye suministro e instalación).</v>
      </c>
      <c r="E4708" s="13"/>
      <c r="F4708" s="12"/>
      <c r="G4708" s="12"/>
      <c r="H4708" s="12"/>
      <c r="I4708" s="11" t="s">
        <v>400</v>
      </c>
      <c r="J4708" s="12" t="str">
        <f>+VLOOKUP('MEMORIAS DE CANTIDADES'!C4708,'PROPUESTA ECONOMICA(Proponente)'!$C$379:$H$661,6,FALSE)</f>
        <v>Und</v>
      </c>
      <c r="K4708" s="11" t="s">
        <v>401</v>
      </c>
      <c r="L4708" s="643">
        <f>SUM(L4709:L4716)</f>
        <v>4</v>
      </c>
    </row>
    <row r="4709" spans="2:12" ht="15">
      <c r="B4709" s="644"/>
      <c r="C4709" s="16"/>
      <c r="D4709" s="15"/>
      <c r="E4709" s="15"/>
      <c r="F4709" s="15"/>
      <c r="G4709" s="15"/>
      <c r="H4709" s="15"/>
      <c r="I4709" s="15"/>
      <c r="J4709" s="15"/>
      <c r="K4709" s="17"/>
      <c r="L4709" s="645"/>
    </row>
    <row r="4710" spans="2:12" ht="47.25">
      <c r="B4710" s="646" t="s">
        <v>402</v>
      </c>
      <c r="C4710" s="18" t="s">
        <v>403</v>
      </c>
      <c r="D4710" s="18" t="s">
        <v>404</v>
      </c>
      <c r="E4710" s="18" t="s">
        <v>405</v>
      </c>
      <c r="F4710" s="18" t="s">
        <v>406</v>
      </c>
      <c r="G4710" s="18" t="s">
        <v>407</v>
      </c>
      <c r="H4710" s="5" t="s">
        <v>408</v>
      </c>
      <c r="I4710" s="18" t="s">
        <v>409</v>
      </c>
      <c r="J4710" s="5" t="s">
        <v>410</v>
      </c>
      <c r="K4710" s="5" t="s">
        <v>411</v>
      </c>
      <c r="L4710" s="647" t="s">
        <v>412</v>
      </c>
    </row>
    <row r="4711" spans="2:12" ht="15">
      <c r="B4711" s="648" t="s">
        <v>880</v>
      </c>
      <c r="C4711" s="19"/>
      <c r="D4711" s="19"/>
      <c r="E4711" s="19"/>
      <c r="F4711" s="19"/>
      <c r="G4711" s="20"/>
      <c r="H4711" s="68"/>
      <c r="I4711" s="17">
        <v>1</v>
      </c>
      <c r="J4711" s="28">
        <v>2</v>
      </c>
      <c r="K4711" s="17"/>
      <c r="L4711" s="649">
        <f>PRODUCT(C4711:K4711)</f>
        <v>2</v>
      </c>
    </row>
    <row r="4712" spans="2:12" ht="15">
      <c r="B4712" s="648" t="s">
        <v>881</v>
      </c>
      <c r="C4712" s="20"/>
      <c r="D4712" s="19"/>
      <c r="E4712" s="19"/>
      <c r="F4712" s="19"/>
      <c r="G4712" s="20"/>
      <c r="H4712" s="68"/>
      <c r="I4712" s="17">
        <v>1</v>
      </c>
      <c r="J4712" s="28">
        <v>2</v>
      </c>
      <c r="K4712" s="17"/>
      <c r="L4712" s="649">
        <f t="shared" ref="L4712" si="350">PRODUCT(C4712:K4712)</f>
        <v>2</v>
      </c>
    </row>
    <row r="4713" spans="2:12" ht="15">
      <c r="B4713" s="650"/>
      <c r="C4713" s="20"/>
      <c r="D4713" s="20"/>
      <c r="E4713" s="20"/>
      <c r="F4713" s="20"/>
      <c r="G4713" s="20"/>
      <c r="H4713" s="20"/>
      <c r="I4713" s="20"/>
      <c r="J4713" s="17"/>
      <c r="K4713" s="17"/>
      <c r="L4713" s="649"/>
    </row>
    <row r="4714" spans="2:12" ht="15">
      <c r="B4714" s="650"/>
      <c r="C4714" s="20"/>
      <c r="D4714" s="20"/>
      <c r="E4714" s="20"/>
      <c r="F4714" s="20"/>
      <c r="G4714" s="20"/>
      <c r="H4714" s="19"/>
      <c r="I4714" s="20"/>
      <c r="J4714" s="19"/>
      <c r="K4714" s="17"/>
      <c r="L4714" s="649"/>
    </row>
    <row r="4715" spans="2:12" ht="15">
      <c r="B4715" s="650"/>
      <c r="C4715" s="20"/>
      <c r="D4715" s="20"/>
      <c r="E4715" s="20"/>
      <c r="F4715" s="20"/>
      <c r="G4715" s="20"/>
      <c r="H4715" s="19"/>
      <c r="I4715" s="20"/>
      <c r="J4715" s="19"/>
      <c r="K4715" s="17"/>
      <c r="L4715" s="649"/>
    </row>
    <row r="4716" spans="2:12" ht="15.75">
      <c r="B4716" s="981" t="s">
        <v>414</v>
      </c>
      <c r="C4716" s="982"/>
      <c r="D4716" s="982"/>
      <c r="E4716" s="982"/>
      <c r="F4716" s="982"/>
      <c r="G4716" s="982"/>
      <c r="H4716" s="982"/>
      <c r="I4716" s="982"/>
      <c r="J4716" s="982"/>
      <c r="K4716" s="982"/>
      <c r="L4716" s="983"/>
    </row>
    <row r="4717" spans="2:12" ht="15.75">
      <c r="B4717" s="756"/>
      <c r="C4717" s="757"/>
      <c r="D4717" s="757"/>
      <c r="E4717" s="757"/>
      <c r="F4717" s="757"/>
      <c r="G4717" s="757"/>
      <c r="H4717" s="757"/>
      <c r="I4717" s="757"/>
      <c r="J4717" s="757"/>
      <c r="K4717" s="757"/>
      <c r="L4717" s="758"/>
    </row>
    <row r="4718" spans="2:12" ht="15.75">
      <c r="B4718" s="638" t="s">
        <v>398</v>
      </c>
      <c r="C4718" s="8">
        <v>10</v>
      </c>
      <c r="D4718" s="1008" t="s">
        <v>1033</v>
      </c>
      <c r="E4718" s="1009"/>
      <c r="F4718" s="1009"/>
      <c r="G4718" s="1009"/>
      <c r="H4718" s="1009"/>
      <c r="I4718" s="1009"/>
      <c r="J4718" s="1014"/>
      <c r="K4718" s="27"/>
      <c r="L4718" s="750"/>
    </row>
    <row r="4719" spans="2:12" ht="15">
      <c r="B4719" s="1005"/>
      <c r="C4719" s="1006"/>
      <c r="D4719" s="1006"/>
      <c r="E4719" s="1006"/>
      <c r="F4719" s="1006"/>
      <c r="G4719" s="1006"/>
      <c r="H4719" s="1006"/>
      <c r="I4719" s="1006"/>
      <c r="J4719" s="1006"/>
      <c r="K4719" s="1006"/>
      <c r="L4719" s="1007"/>
    </row>
    <row r="4720" spans="2:12" ht="31.5">
      <c r="B4720" s="642" t="s">
        <v>399</v>
      </c>
      <c r="C4720" s="25">
        <f>+'PROPUESTA ECONOMICA(Proponente)'!C544</f>
        <v>10.4</v>
      </c>
      <c r="D4720" s="12" t="str">
        <f>+VLOOKUP('MEMORIAS DE CANTIDADES'!C4720,'PROPUESTA ECONOMICA(Proponente)'!$C$379:$H$661,5,FALSE)</f>
        <v>Puerta Principal doble en tubería metálica, diseño y dimensiones según planos.</v>
      </c>
      <c r="E4720" s="13"/>
      <c r="F4720" s="12"/>
      <c r="G4720" s="12"/>
      <c r="H4720" s="12"/>
      <c r="I4720" s="11" t="s">
        <v>400</v>
      </c>
      <c r="J4720" s="12" t="str">
        <f>+VLOOKUP('MEMORIAS DE CANTIDADES'!C4720,'PROPUESTA ECONOMICA(Proponente)'!$C$379:$H$661,6,FALSE)</f>
        <v>Und</v>
      </c>
      <c r="K4720" s="11" t="s">
        <v>401</v>
      </c>
      <c r="L4720" s="643">
        <f>SUM(L4721:L4728)</f>
        <v>3</v>
      </c>
    </row>
    <row r="4721" spans="2:12" ht="15">
      <c r="B4721" s="644"/>
      <c r="C4721" s="16"/>
      <c r="D4721" s="15"/>
      <c r="E4721" s="15"/>
      <c r="F4721" s="15"/>
      <c r="G4721" s="15"/>
      <c r="H4721" s="15"/>
      <c r="I4721" s="15"/>
      <c r="J4721" s="15"/>
      <c r="K4721" s="17"/>
      <c r="L4721" s="645"/>
    </row>
    <row r="4722" spans="2:12" ht="47.25">
      <c r="B4722" s="646" t="s">
        <v>402</v>
      </c>
      <c r="C4722" s="18" t="s">
        <v>403</v>
      </c>
      <c r="D4722" s="18" t="s">
        <v>404</v>
      </c>
      <c r="E4722" s="18" t="s">
        <v>405</v>
      </c>
      <c r="F4722" s="18" t="s">
        <v>406</v>
      </c>
      <c r="G4722" s="18" t="s">
        <v>407</v>
      </c>
      <c r="H4722" s="5" t="s">
        <v>408</v>
      </c>
      <c r="I4722" s="18" t="s">
        <v>409</v>
      </c>
      <c r="J4722" s="5" t="s">
        <v>410</v>
      </c>
      <c r="K4722" s="5" t="s">
        <v>411</v>
      </c>
      <c r="L4722" s="647" t="s">
        <v>412</v>
      </c>
    </row>
    <row r="4723" spans="2:12" ht="15">
      <c r="B4723" s="648" t="s">
        <v>438</v>
      </c>
      <c r="C4723" s="19"/>
      <c r="D4723" s="19"/>
      <c r="E4723" s="19"/>
      <c r="F4723" s="19"/>
      <c r="G4723" s="20"/>
      <c r="H4723" s="68"/>
      <c r="I4723" s="17">
        <v>1</v>
      </c>
      <c r="J4723" s="28"/>
      <c r="K4723" s="17"/>
      <c r="L4723" s="649">
        <f>PRODUCT(C4723:K4723)</f>
        <v>1</v>
      </c>
    </row>
    <row r="4724" spans="2:12" ht="15">
      <c r="B4724" s="648" t="s">
        <v>556</v>
      </c>
      <c r="C4724" s="20"/>
      <c r="D4724" s="19"/>
      <c r="E4724" s="19"/>
      <c r="F4724" s="19"/>
      <c r="G4724" s="20"/>
      <c r="H4724" s="68"/>
      <c r="I4724" s="17">
        <v>2</v>
      </c>
      <c r="J4724" s="19"/>
      <c r="K4724" s="17"/>
      <c r="L4724" s="649">
        <f t="shared" ref="L4724" si="351">PRODUCT(C4724:K4724)</f>
        <v>2</v>
      </c>
    </row>
    <row r="4725" spans="2:12" ht="15">
      <c r="B4725" s="650"/>
      <c r="C4725" s="20"/>
      <c r="D4725" s="20"/>
      <c r="E4725" s="20"/>
      <c r="F4725" s="20"/>
      <c r="G4725" s="20"/>
      <c r="H4725" s="20"/>
      <c r="I4725" s="20"/>
      <c r="J4725" s="19"/>
      <c r="K4725" s="17"/>
      <c r="L4725" s="649"/>
    </row>
    <row r="4726" spans="2:12" ht="15">
      <c r="B4726" s="650"/>
      <c r="C4726" s="20"/>
      <c r="D4726" s="20"/>
      <c r="E4726" s="20"/>
      <c r="F4726" s="20"/>
      <c r="G4726" s="20"/>
      <c r="H4726" s="19"/>
      <c r="I4726" s="20"/>
      <c r="J4726" s="19"/>
      <c r="K4726" s="17"/>
      <c r="L4726" s="649"/>
    </row>
    <row r="4727" spans="2:12" ht="15">
      <c r="B4727" s="650"/>
      <c r="C4727" s="20"/>
      <c r="D4727" s="20"/>
      <c r="E4727" s="20"/>
      <c r="F4727" s="20"/>
      <c r="G4727" s="20"/>
      <c r="H4727" s="19"/>
      <c r="I4727" s="20"/>
      <c r="J4727" s="19"/>
      <c r="K4727" s="17"/>
      <c r="L4727" s="649"/>
    </row>
    <row r="4728" spans="2:12" ht="15.75">
      <c r="B4728" s="981" t="s">
        <v>414</v>
      </c>
      <c r="C4728" s="982"/>
      <c r="D4728" s="982"/>
      <c r="E4728" s="982"/>
      <c r="F4728" s="982"/>
      <c r="G4728" s="982"/>
      <c r="H4728" s="982"/>
      <c r="I4728" s="982"/>
      <c r="J4728" s="982"/>
      <c r="K4728" s="982"/>
      <c r="L4728" s="983"/>
    </row>
    <row r="4729" spans="2:12" ht="15.75">
      <c r="B4729" s="756"/>
      <c r="C4729" s="757"/>
      <c r="D4729" s="757"/>
      <c r="E4729" s="757"/>
      <c r="F4729" s="757"/>
      <c r="G4729" s="757"/>
      <c r="H4729" s="757"/>
      <c r="I4729" s="757"/>
      <c r="J4729" s="757"/>
      <c r="K4729" s="757"/>
      <c r="L4729" s="758"/>
    </row>
    <row r="4730" spans="2:12" ht="15.75">
      <c r="B4730" s="638" t="s">
        <v>398</v>
      </c>
      <c r="C4730" s="8">
        <v>10</v>
      </c>
      <c r="D4730" s="1008" t="s">
        <v>1033</v>
      </c>
      <c r="E4730" s="1009"/>
      <c r="F4730" s="1009"/>
      <c r="G4730" s="1009"/>
      <c r="H4730" s="1009"/>
      <c r="I4730" s="1009"/>
      <c r="J4730" s="1014"/>
      <c r="K4730" s="27"/>
      <c r="L4730" s="750"/>
    </row>
    <row r="4731" spans="2:12" ht="15">
      <c r="B4731" s="1005"/>
      <c r="C4731" s="1006"/>
      <c r="D4731" s="1006"/>
      <c r="E4731" s="1006"/>
      <c r="F4731" s="1006"/>
      <c r="G4731" s="1006"/>
      <c r="H4731" s="1006"/>
      <c r="I4731" s="1006"/>
      <c r="J4731" s="1006"/>
      <c r="K4731" s="1006"/>
      <c r="L4731" s="1007"/>
    </row>
    <row r="4732" spans="2:12" ht="63">
      <c r="B4732" s="642" t="s">
        <v>399</v>
      </c>
      <c r="C4732" s="25">
        <f>+'PROPUESTA ECONOMICA(Proponente)'!C545</f>
        <v>10.5</v>
      </c>
      <c r="D4732" s="12" t="str">
        <f>+VLOOKUP('MEMORIAS DE CANTIDADES'!C4732,'PROPUESTA ECONOMICA(Proponente)'!$C$379:$H$661,5,FALSE)</f>
        <v>Suministro e instalación de puertas doble hoja para depósitos, tableros generales y subestación eléctrica en aluminio, (Incluye suministro e instalación).</v>
      </c>
      <c r="E4732" s="13"/>
      <c r="F4732" s="12"/>
      <c r="G4732" s="12"/>
      <c r="H4732" s="12"/>
      <c r="I4732" s="11" t="s">
        <v>400</v>
      </c>
      <c r="J4732" s="12" t="str">
        <f>+VLOOKUP('MEMORIAS DE CANTIDADES'!C4732,'PROPUESTA ECONOMICA(Proponente)'!$C$379:$H$661,6,FALSE)</f>
        <v>Und</v>
      </c>
      <c r="K4732" s="11" t="s">
        <v>401</v>
      </c>
      <c r="L4732" s="643">
        <f>SUM(L4733:L4740)</f>
        <v>3</v>
      </c>
    </row>
    <row r="4733" spans="2:12" ht="15">
      <c r="B4733" s="644"/>
      <c r="C4733" s="16"/>
      <c r="D4733" s="15"/>
      <c r="E4733" s="15"/>
      <c r="F4733" s="15"/>
      <c r="G4733" s="15"/>
      <c r="H4733" s="15"/>
      <c r="I4733" s="15"/>
      <c r="J4733" s="15"/>
      <c r="K4733" s="17"/>
      <c r="L4733" s="645"/>
    </row>
    <row r="4734" spans="2:12" ht="47.25">
      <c r="B4734" s="646" t="s">
        <v>402</v>
      </c>
      <c r="C4734" s="18" t="s">
        <v>403</v>
      </c>
      <c r="D4734" s="18" t="s">
        <v>404</v>
      </c>
      <c r="E4734" s="18" t="s">
        <v>405</v>
      </c>
      <c r="F4734" s="18" t="s">
        <v>406</v>
      </c>
      <c r="G4734" s="18" t="s">
        <v>407</v>
      </c>
      <c r="H4734" s="5" t="s">
        <v>408</v>
      </c>
      <c r="I4734" s="18" t="s">
        <v>409</v>
      </c>
      <c r="J4734" s="5" t="s">
        <v>410</v>
      </c>
      <c r="K4734" s="5" t="s">
        <v>411</v>
      </c>
      <c r="L4734" s="647" t="s">
        <v>412</v>
      </c>
    </row>
    <row r="4735" spans="2:12" ht="15">
      <c r="B4735" s="648" t="s">
        <v>528</v>
      </c>
      <c r="C4735" s="19"/>
      <c r="D4735" s="19"/>
      <c r="E4735" s="19"/>
      <c r="F4735" s="19"/>
      <c r="G4735" s="20"/>
      <c r="H4735" s="68"/>
      <c r="I4735" s="28">
        <v>2</v>
      </c>
      <c r="J4735" s="28"/>
      <c r="K4735" s="17"/>
      <c r="L4735" s="649">
        <f>PRODUCT(C4735:K4735)</f>
        <v>2</v>
      </c>
    </row>
    <row r="4736" spans="2:12" ht="15">
      <c r="B4736" s="648" t="s">
        <v>529</v>
      </c>
      <c r="C4736" s="20"/>
      <c r="D4736" s="19"/>
      <c r="E4736" s="19"/>
      <c r="F4736" s="19"/>
      <c r="G4736" s="20"/>
      <c r="H4736" s="68"/>
      <c r="I4736" s="28">
        <v>1</v>
      </c>
      <c r="J4736" s="19"/>
      <c r="K4736" s="17"/>
      <c r="L4736" s="649"/>
    </row>
    <row r="4737" spans="2:12" ht="15">
      <c r="B4737" s="648" t="s">
        <v>537</v>
      </c>
      <c r="C4737" s="20"/>
      <c r="D4737" s="20"/>
      <c r="E4737" s="20"/>
      <c r="F4737" s="20"/>
      <c r="G4737" s="20"/>
      <c r="H4737" s="20"/>
      <c r="I4737" s="19">
        <v>1</v>
      </c>
      <c r="J4737" s="19"/>
      <c r="K4737" s="17"/>
      <c r="L4737" s="649">
        <f t="shared" ref="L4737" si="352">PRODUCT(C4737:K4737)</f>
        <v>1</v>
      </c>
    </row>
    <row r="4738" spans="2:12" ht="15">
      <c r="B4738" s="650"/>
      <c r="C4738" s="20"/>
      <c r="D4738" s="20"/>
      <c r="E4738" s="20"/>
      <c r="F4738" s="20"/>
      <c r="G4738" s="20"/>
      <c r="H4738" s="19"/>
      <c r="I4738" s="20"/>
      <c r="J4738" s="19"/>
      <c r="K4738" s="17"/>
      <c r="L4738" s="649"/>
    </row>
    <row r="4739" spans="2:12" ht="15">
      <c r="B4739" s="650"/>
      <c r="C4739" s="20"/>
      <c r="D4739" s="20"/>
      <c r="E4739" s="20"/>
      <c r="F4739" s="20"/>
      <c r="G4739" s="20"/>
      <c r="H4739" s="19"/>
      <c r="I4739" s="20"/>
      <c r="J4739" s="19"/>
      <c r="K4739" s="17"/>
      <c r="L4739" s="649"/>
    </row>
    <row r="4740" spans="2:12" ht="15.75">
      <c r="B4740" s="981" t="s">
        <v>414</v>
      </c>
      <c r="C4740" s="982"/>
      <c r="D4740" s="982"/>
      <c r="E4740" s="982"/>
      <c r="F4740" s="982"/>
      <c r="G4740" s="982"/>
      <c r="H4740" s="982"/>
      <c r="I4740" s="982"/>
      <c r="J4740" s="982"/>
      <c r="K4740" s="982"/>
      <c r="L4740" s="983"/>
    </row>
    <row r="4741" spans="2:12" ht="15.75">
      <c r="B4741" s="756"/>
      <c r="C4741" s="757"/>
      <c r="D4741" s="757"/>
      <c r="E4741" s="757"/>
      <c r="F4741" s="757"/>
      <c r="G4741" s="757"/>
      <c r="H4741" s="757"/>
      <c r="I4741" s="757"/>
      <c r="J4741" s="757"/>
      <c r="K4741" s="757"/>
      <c r="L4741" s="758"/>
    </row>
    <row r="4742" spans="2:12" ht="15.75">
      <c r="B4742" s="638" t="s">
        <v>398</v>
      </c>
      <c r="C4742" s="8">
        <v>10</v>
      </c>
      <c r="D4742" s="1008" t="s">
        <v>1033</v>
      </c>
      <c r="E4742" s="1009"/>
      <c r="F4742" s="1009"/>
      <c r="G4742" s="1009"/>
      <c r="H4742" s="1009"/>
      <c r="I4742" s="1009"/>
      <c r="J4742" s="1014"/>
      <c r="K4742" s="27"/>
      <c r="L4742" s="750"/>
    </row>
    <row r="4743" spans="2:12" ht="15">
      <c r="B4743" s="1005"/>
      <c r="C4743" s="1006"/>
      <c r="D4743" s="1006"/>
      <c r="E4743" s="1006"/>
      <c r="F4743" s="1006"/>
      <c r="G4743" s="1006"/>
      <c r="H4743" s="1006"/>
      <c r="I4743" s="1006"/>
      <c r="J4743" s="1006"/>
      <c r="K4743" s="1006"/>
      <c r="L4743" s="1007"/>
    </row>
    <row r="4744" spans="2:12" ht="47.25">
      <c r="B4744" s="642" t="s">
        <v>399</v>
      </c>
      <c r="C4744" s="25">
        <f>+'PROPUESTA ECONOMICA(Proponente)'!C546</f>
        <v>10.6</v>
      </c>
      <c r="D4744" s="12" t="str">
        <f>+VLOOKUP('MEMORIAS DE CANTIDADES'!C4744,'PROPUESTA ECONOMICA(Proponente)'!$C$379:$H$661,5,FALSE)</f>
        <v>Baranda metálica en tubular de acero con pintura de esmalte color rojo, (Incluye suministro e instalación).</v>
      </c>
      <c r="E4744" s="13"/>
      <c r="F4744" s="12"/>
      <c r="G4744" s="12"/>
      <c r="H4744" s="12"/>
      <c r="I4744" s="11" t="s">
        <v>400</v>
      </c>
      <c r="J4744" s="12" t="str">
        <f>+VLOOKUP('MEMORIAS DE CANTIDADES'!C4744,'PROPUESTA ECONOMICA(Proponente)'!$C$379:$H$661,6,FALSE)</f>
        <v>ml</v>
      </c>
      <c r="K4744" s="11" t="s">
        <v>401</v>
      </c>
      <c r="L4744" s="643">
        <f>SUM(L4745:L4752)</f>
        <v>58.8</v>
      </c>
    </row>
    <row r="4745" spans="2:12" ht="15">
      <c r="B4745" s="644"/>
      <c r="C4745" s="16"/>
      <c r="D4745" s="15"/>
      <c r="E4745" s="15"/>
      <c r="F4745" s="15"/>
      <c r="G4745" s="15"/>
      <c r="H4745" s="15"/>
      <c r="I4745" s="15"/>
      <c r="J4745" s="15"/>
      <c r="K4745" s="17"/>
      <c r="L4745" s="645"/>
    </row>
    <row r="4746" spans="2:12" ht="47.25">
      <c r="B4746" s="646" t="s">
        <v>402</v>
      </c>
      <c r="C4746" s="18" t="s">
        <v>403</v>
      </c>
      <c r="D4746" s="18" t="s">
        <v>404</v>
      </c>
      <c r="E4746" s="18" t="s">
        <v>405</v>
      </c>
      <c r="F4746" s="18" t="s">
        <v>406</v>
      </c>
      <c r="G4746" s="18" t="s">
        <v>407</v>
      </c>
      <c r="H4746" s="5" t="s">
        <v>408</v>
      </c>
      <c r="I4746" s="18" t="s">
        <v>409</v>
      </c>
      <c r="J4746" s="5" t="s">
        <v>410</v>
      </c>
      <c r="K4746" s="5" t="s">
        <v>411</v>
      </c>
      <c r="L4746" s="647" t="s">
        <v>412</v>
      </c>
    </row>
    <row r="4747" spans="2:12" ht="28.15" customHeight="1">
      <c r="B4747" s="648" t="s">
        <v>878</v>
      </c>
      <c r="C4747" s="19"/>
      <c r="D4747" s="19"/>
      <c r="E4747" s="19"/>
      <c r="F4747" s="19">
        <f>9.5+3.3*3+10</f>
        <v>29.4</v>
      </c>
      <c r="G4747" s="20"/>
      <c r="H4747" s="68"/>
      <c r="I4747" s="17">
        <v>1</v>
      </c>
      <c r="J4747" s="28"/>
      <c r="K4747" s="17"/>
      <c r="L4747" s="649">
        <f>PRODUCT(C4747:K4747)</f>
        <v>29.4</v>
      </c>
    </row>
    <row r="4748" spans="2:12" ht="15">
      <c r="B4748" s="648" t="s">
        <v>879</v>
      </c>
      <c r="C4748" s="20"/>
      <c r="D4748" s="19"/>
      <c r="E4748" s="19"/>
      <c r="F4748" s="19">
        <f>9.5+3.3*3+10</f>
        <v>29.4</v>
      </c>
      <c r="G4748" s="20"/>
      <c r="H4748" s="68"/>
      <c r="I4748" s="17">
        <v>1</v>
      </c>
      <c r="J4748" s="19"/>
      <c r="K4748" s="17"/>
      <c r="L4748" s="649">
        <f>PRODUCT(C4748:K4748)</f>
        <v>29.4</v>
      </c>
    </row>
    <row r="4749" spans="2:12" ht="15">
      <c r="B4749" s="648"/>
      <c r="C4749" s="20"/>
      <c r="D4749" s="20"/>
      <c r="E4749" s="20"/>
      <c r="F4749" s="20"/>
      <c r="G4749" s="20"/>
      <c r="H4749" s="20"/>
      <c r="I4749" s="20"/>
      <c r="J4749" s="19"/>
      <c r="K4749" s="17"/>
      <c r="L4749" s="649"/>
    </row>
    <row r="4750" spans="2:12" ht="15">
      <c r="B4750" s="650"/>
      <c r="C4750" s="20"/>
      <c r="D4750" s="20"/>
      <c r="E4750" s="20"/>
      <c r="F4750" s="20"/>
      <c r="G4750" s="20"/>
      <c r="H4750" s="19"/>
      <c r="I4750" s="20"/>
      <c r="J4750" s="19"/>
      <c r="K4750" s="17"/>
      <c r="L4750" s="649"/>
    </row>
    <row r="4751" spans="2:12" ht="15">
      <c r="B4751" s="650"/>
      <c r="C4751" s="20"/>
      <c r="D4751" s="20"/>
      <c r="E4751" s="20"/>
      <c r="F4751" s="20"/>
      <c r="G4751" s="20"/>
      <c r="H4751" s="19"/>
      <c r="I4751" s="20"/>
      <c r="J4751" s="19"/>
      <c r="K4751" s="17"/>
      <c r="L4751" s="649"/>
    </row>
    <row r="4752" spans="2:12" ht="15.75">
      <c r="B4752" s="981" t="s">
        <v>414</v>
      </c>
      <c r="C4752" s="982"/>
      <c r="D4752" s="982"/>
      <c r="E4752" s="982"/>
      <c r="F4752" s="982"/>
      <c r="G4752" s="982"/>
      <c r="H4752" s="982"/>
      <c r="I4752" s="982"/>
      <c r="J4752" s="982"/>
      <c r="K4752" s="982"/>
      <c r="L4752" s="983"/>
    </row>
    <row r="4753" spans="2:12" ht="15.75">
      <c r="B4753" s="756"/>
      <c r="C4753" s="757"/>
      <c r="D4753" s="757"/>
      <c r="E4753" s="757"/>
      <c r="F4753" s="757"/>
      <c r="G4753" s="757"/>
      <c r="H4753" s="757"/>
      <c r="I4753" s="757"/>
      <c r="J4753" s="757"/>
      <c r="K4753" s="757"/>
      <c r="L4753" s="758"/>
    </row>
    <row r="4754" spans="2:12" ht="15.75">
      <c r="B4754" s="638" t="s">
        <v>398</v>
      </c>
      <c r="C4754" s="8">
        <v>10</v>
      </c>
      <c r="D4754" s="1008" t="s">
        <v>1033</v>
      </c>
      <c r="E4754" s="1009"/>
      <c r="F4754" s="1009"/>
      <c r="G4754" s="1009"/>
      <c r="H4754" s="1009"/>
      <c r="I4754" s="1009"/>
      <c r="J4754" s="1014"/>
      <c r="K4754" s="27"/>
      <c r="L4754" s="750"/>
    </row>
    <row r="4755" spans="2:12" ht="15">
      <c r="B4755" s="1005"/>
      <c r="C4755" s="1006"/>
      <c r="D4755" s="1006"/>
      <c r="E4755" s="1006"/>
      <c r="F4755" s="1006"/>
      <c r="G4755" s="1006"/>
      <c r="H4755" s="1006"/>
      <c r="I4755" s="1006"/>
      <c r="J4755" s="1006"/>
      <c r="K4755" s="1006"/>
      <c r="L4755" s="1007"/>
    </row>
    <row r="4756" spans="2:12" ht="78.75">
      <c r="B4756" s="642" t="s">
        <v>399</v>
      </c>
      <c r="C4756" s="191">
        <f>+'PROPUESTA ECONOMICA(Proponente)'!C547</f>
        <v>10.7</v>
      </c>
      <c r="D4756" s="192" t="str">
        <f>+VLOOKUP('MEMORIAS DE CANTIDADES'!C4756,'PROPUESTA ECONOMICA(Proponente)'!$C$379:$H$661,5,FALSE)</f>
        <v>Divisiones de Baños en láminas de acero Galvanizada Cal-20 y soportes 2"x4" y espesor de 3 mm operación satinado externo #4 y con herrajes en acero inoxidable, (Incluye suministro e instalación)</v>
      </c>
      <c r="E4756" s="193"/>
      <c r="F4756" s="192"/>
      <c r="G4756" s="192"/>
      <c r="H4756" s="192"/>
      <c r="I4756" s="190" t="s">
        <v>400</v>
      </c>
      <c r="J4756" s="192" t="str">
        <f>+VLOOKUP('MEMORIAS DE CANTIDADES'!C4756,'PROPUESTA ECONOMICA(Proponente)'!$C$379:$H$661,6,FALSE)</f>
        <v>m2</v>
      </c>
      <c r="K4756" s="190" t="s">
        <v>401</v>
      </c>
      <c r="L4756" s="851">
        <f>SUM(L4757:L4766)</f>
        <v>101.935</v>
      </c>
    </row>
    <row r="4757" spans="2:12" ht="15">
      <c r="B4757" s="644"/>
      <c r="C4757" s="16"/>
      <c r="D4757" s="15"/>
      <c r="E4757" s="15"/>
      <c r="F4757" s="15"/>
      <c r="G4757" s="15"/>
      <c r="H4757" s="15"/>
      <c r="I4757" s="15"/>
      <c r="J4757" s="15"/>
      <c r="K4757" s="17"/>
      <c r="L4757" s="645"/>
    </row>
    <row r="4758" spans="2:12" ht="47.25">
      <c r="B4758" s="646" t="s">
        <v>402</v>
      </c>
      <c r="C4758" s="18" t="s">
        <v>403</v>
      </c>
      <c r="D4758" s="18" t="s">
        <v>404</v>
      </c>
      <c r="E4758" s="18" t="s">
        <v>405</v>
      </c>
      <c r="F4758" s="18" t="s">
        <v>406</v>
      </c>
      <c r="G4758" s="18" t="s">
        <v>407</v>
      </c>
      <c r="H4758" s="5" t="s">
        <v>408</v>
      </c>
      <c r="I4758" s="18" t="s">
        <v>409</v>
      </c>
      <c r="J4758" s="5" t="s">
        <v>410</v>
      </c>
      <c r="K4758" s="5" t="s">
        <v>411</v>
      </c>
      <c r="L4758" s="647" t="s">
        <v>412</v>
      </c>
    </row>
    <row r="4759" spans="2:12" ht="15">
      <c r="B4759" s="648" t="s">
        <v>541</v>
      </c>
      <c r="C4759" s="19"/>
      <c r="D4759" s="19"/>
      <c r="E4759" s="19">
        <v>1.85</v>
      </c>
      <c r="F4759" s="19">
        <v>0.95</v>
      </c>
      <c r="G4759" s="20"/>
      <c r="H4759" s="68"/>
      <c r="I4759" s="17">
        <v>7</v>
      </c>
      <c r="J4759" s="28">
        <v>2</v>
      </c>
      <c r="K4759" s="17"/>
      <c r="L4759" s="649">
        <f>PRODUCT(C4759:K4759)</f>
        <v>24.605</v>
      </c>
    </row>
    <row r="4760" spans="2:12" ht="15">
      <c r="B4760" s="648"/>
      <c r="C4760" s="20"/>
      <c r="D4760" s="19"/>
      <c r="E4760" s="19"/>
      <c r="F4760" s="19"/>
      <c r="G4760" s="20"/>
      <c r="H4760" s="68"/>
      <c r="I4760" s="17"/>
      <c r="J4760" s="19"/>
      <c r="K4760" s="17"/>
      <c r="L4760" s="649"/>
    </row>
    <row r="4761" spans="2:12" ht="15">
      <c r="B4761" s="648" t="s">
        <v>591</v>
      </c>
      <c r="C4761" s="20"/>
      <c r="D4761" s="20"/>
      <c r="E4761" s="19">
        <v>1.85</v>
      </c>
      <c r="F4761" s="20">
        <v>0.95</v>
      </c>
      <c r="G4761" s="20"/>
      <c r="H4761" s="20"/>
      <c r="I4761" s="122">
        <v>7</v>
      </c>
      <c r="J4761" s="19">
        <v>2</v>
      </c>
      <c r="K4761" s="17"/>
      <c r="L4761" s="649">
        <f t="shared" ref="L4761:L4765" si="353">PRODUCT(C4761:K4761)</f>
        <v>24.605</v>
      </c>
    </row>
    <row r="4762" spans="2:12" ht="15">
      <c r="B4762" s="650"/>
      <c r="C4762" s="20"/>
      <c r="D4762" s="20"/>
      <c r="E4762" s="20"/>
      <c r="F4762" s="20"/>
      <c r="G4762" s="20"/>
      <c r="H4762" s="19"/>
      <c r="I4762" s="20"/>
      <c r="J4762" s="19"/>
      <c r="K4762" s="17"/>
      <c r="L4762" s="649"/>
    </row>
    <row r="4763" spans="2:12" ht="15">
      <c r="B4763" s="650" t="s">
        <v>853</v>
      </c>
      <c r="C4763" s="176"/>
      <c r="D4763" s="176"/>
      <c r="E4763" s="19">
        <v>1.85</v>
      </c>
      <c r="F4763" s="176">
        <v>0.95</v>
      </c>
      <c r="G4763" s="176"/>
      <c r="H4763" s="175"/>
      <c r="I4763" s="176">
        <v>3</v>
      </c>
      <c r="J4763" s="175">
        <v>2</v>
      </c>
      <c r="K4763" s="167"/>
      <c r="L4763" s="677">
        <f>PRODUCT(C4763:K4763)</f>
        <v>10.545</v>
      </c>
    </row>
    <row r="4764" spans="2:12" ht="15">
      <c r="B4764" s="650" t="s">
        <v>823</v>
      </c>
      <c r="C4764" s="176"/>
      <c r="D4764" s="176"/>
      <c r="E4764" s="19">
        <v>1.85</v>
      </c>
      <c r="F4764" s="176">
        <v>0.95</v>
      </c>
      <c r="G4764" s="176"/>
      <c r="H4764" s="175"/>
      <c r="I4764" s="176">
        <v>6</v>
      </c>
      <c r="J4764" s="175">
        <v>2</v>
      </c>
      <c r="K4764" s="167"/>
      <c r="L4764" s="677">
        <f t="shared" si="353"/>
        <v>21.09</v>
      </c>
    </row>
    <row r="4765" spans="2:12" ht="15">
      <c r="B4765" s="650" t="s">
        <v>854</v>
      </c>
      <c r="C4765" s="176"/>
      <c r="D4765" s="176"/>
      <c r="E4765" s="19">
        <v>1.85</v>
      </c>
      <c r="F4765" s="176">
        <v>0.95</v>
      </c>
      <c r="G4765" s="176"/>
      <c r="H4765" s="175"/>
      <c r="I4765" s="176">
        <v>6</v>
      </c>
      <c r="J4765" s="175">
        <v>2</v>
      </c>
      <c r="K4765" s="167"/>
      <c r="L4765" s="677">
        <f t="shared" si="353"/>
        <v>21.09</v>
      </c>
    </row>
    <row r="4766" spans="2:12" ht="15.75">
      <c r="B4766" s="981" t="s">
        <v>414</v>
      </c>
      <c r="C4766" s="982"/>
      <c r="D4766" s="982"/>
      <c r="E4766" s="982"/>
      <c r="F4766" s="982"/>
      <c r="G4766" s="982"/>
      <c r="H4766" s="982"/>
      <c r="I4766" s="982"/>
      <c r="J4766" s="982"/>
      <c r="K4766" s="982"/>
      <c r="L4766" s="983"/>
    </row>
    <row r="4767" spans="2:12" ht="31.15" customHeight="1">
      <c r="B4767" s="756"/>
      <c r="C4767" s="757"/>
      <c r="D4767" s="757"/>
      <c r="E4767" s="757"/>
      <c r="F4767" s="757"/>
      <c r="G4767" s="757"/>
      <c r="H4767" s="757"/>
      <c r="I4767" s="757"/>
      <c r="J4767" s="757"/>
      <c r="K4767" s="757"/>
      <c r="L4767" s="758"/>
    </row>
    <row r="4768" spans="2:12" ht="15.75">
      <c r="B4768" s="638" t="s">
        <v>398</v>
      </c>
      <c r="C4768" s="8" t="s">
        <v>0</v>
      </c>
      <c r="D4768" s="1008" t="s">
        <v>1033</v>
      </c>
      <c r="E4768" s="1009"/>
      <c r="F4768" s="1009"/>
      <c r="G4768" s="1009"/>
      <c r="H4768" s="1009"/>
      <c r="I4768" s="1009"/>
      <c r="J4768" s="1014"/>
      <c r="K4768" s="27"/>
      <c r="L4768" s="750"/>
    </row>
    <row r="4769" spans="2:12" ht="15">
      <c r="B4769" s="1005"/>
      <c r="C4769" s="1006"/>
      <c r="D4769" s="1006"/>
      <c r="E4769" s="1006"/>
      <c r="F4769" s="1006"/>
      <c r="G4769" s="1006"/>
      <c r="H4769" s="1006"/>
      <c r="I4769" s="1006"/>
      <c r="J4769" s="1006"/>
      <c r="K4769" s="1006"/>
      <c r="L4769" s="1007"/>
    </row>
    <row r="4770" spans="2:12" ht="63">
      <c r="B4770" s="642" t="s">
        <v>399</v>
      </c>
      <c r="C4770" s="25">
        <f>+'PROPUESTA ECONOMICA(Proponente)'!C548</f>
        <v>10.8</v>
      </c>
      <c r="D4770" s="12" t="str">
        <f>+VLOOKUP('MEMORIAS DE CANTIDADES'!C4770,'PROPUESTA ECONOMICA(Proponente)'!$C$379:$H$661,5,FALSE)</f>
        <v>Suministro puertas acceso baños metálica cal-20, Cald Rol o similar, de 0.85,0mts X 2,10, incluye marco metálico de 2"x4", anclajes y herrajes, (Incluye suministro e instalación).</v>
      </c>
      <c r="E4770" s="13"/>
      <c r="F4770" s="12"/>
      <c r="G4770" s="12"/>
      <c r="H4770" s="12"/>
      <c r="I4770" s="11" t="s">
        <v>400</v>
      </c>
      <c r="J4770" s="12" t="str">
        <f>+VLOOKUP('MEMORIAS DE CANTIDADES'!C4770,'PROPUESTA ECONOMICA(Proponente)'!$C$379:$H$661,6,FALSE)</f>
        <v>Und</v>
      </c>
      <c r="K4770" s="11" t="s">
        <v>401</v>
      </c>
      <c r="L4770" s="643">
        <f>SUM(L4771:L4780)</f>
        <v>62</v>
      </c>
    </row>
    <row r="4771" spans="2:12" ht="15">
      <c r="B4771" s="644"/>
      <c r="C4771" s="16"/>
      <c r="D4771" s="15"/>
      <c r="E4771" s="15"/>
      <c r="F4771" s="15"/>
      <c r="G4771" s="15"/>
      <c r="H4771" s="15"/>
      <c r="I4771" s="15"/>
      <c r="J4771" s="15"/>
      <c r="K4771" s="17"/>
      <c r="L4771" s="645"/>
    </row>
    <row r="4772" spans="2:12" ht="47.25">
      <c r="B4772" s="646" t="s">
        <v>402</v>
      </c>
      <c r="C4772" s="18" t="s">
        <v>403</v>
      </c>
      <c r="D4772" s="18" t="s">
        <v>404</v>
      </c>
      <c r="E4772" s="18" t="s">
        <v>405</v>
      </c>
      <c r="F4772" s="18" t="s">
        <v>406</v>
      </c>
      <c r="G4772" s="18" t="s">
        <v>407</v>
      </c>
      <c r="H4772" s="5" t="s">
        <v>408</v>
      </c>
      <c r="I4772" s="18" t="s">
        <v>409</v>
      </c>
      <c r="J4772" s="5" t="s">
        <v>410</v>
      </c>
      <c r="K4772" s="5" t="s">
        <v>411</v>
      </c>
      <c r="L4772" s="647" t="s">
        <v>412</v>
      </c>
    </row>
    <row r="4773" spans="2:12" ht="15">
      <c r="B4773" s="648" t="s">
        <v>541</v>
      </c>
      <c r="C4773" s="19"/>
      <c r="D4773" s="19"/>
      <c r="E4773" s="19"/>
      <c r="F4773" s="19"/>
      <c r="G4773" s="20"/>
      <c r="H4773" s="68"/>
      <c r="I4773" s="2">
        <v>7</v>
      </c>
      <c r="J4773" s="3">
        <v>2</v>
      </c>
      <c r="K4773" s="2"/>
      <c r="L4773" s="649">
        <f>PRODUCT(C4773:K4773)</f>
        <v>14</v>
      </c>
    </row>
    <row r="4774" spans="2:12" ht="15">
      <c r="B4774" s="648"/>
      <c r="C4774" s="20"/>
      <c r="D4774" s="19"/>
      <c r="E4774" s="19"/>
      <c r="F4774" s="19"/>
      <c r="G4774" s="20"/>
      <c r="H4774" s="68"/>
      <c r="I4774" s="2"/>
      <c r="J4774" s="47"/>
      <c r="K4774" s="2"/>
      <c r="L4774" s="649"/>
    </row>
    <row r="4775" spans="2:12" ht="15">
      <c r="B4775" s="648" t="s">
        <v>591</v>
      </c>
      <c r="C4775" s="20"/>
      <c r="D4775" s="20"/>
      <c r="E4775" s="20"/>
      <c r="F4775" s="20"/>
      <c r="G4775" s="20"/>
      <c r="H4775" s="20"/>
      <c r="I4775" s="23">
        <v>7</v>
      </c>
      <c r="J4775" s="47">
        <v>2</v>
      </c>
      <c r="K4775" s="2"/>
      <c r="L4775" s="649">
        <f t="shared" ref="L4775" si="354">PRODUCT(C4775:K4775)</f>
        <v>14</v>
      </c>
    </row>
    <row r="4776" spans="2:12" ht="15">
      <c r="B4776" s="650"/>
      <c r="C4776" s="20"/>
      <c r="D4776" s="20"/>
      <c r="E4776" s="20"/>
      <c r="F4776" s="20"/>
      <c r="G4776" s="20"/>
      <c r="H4776" s="19"/>
      <c r="I4776" s="23"/>
      <c r="J4776" s="47"/>
      <c r="K4776" s="2"/>
      <c r="L4776" s="649"/>
    </row>
    <row r="4777" spans="2:12" ht="15">
      <c r="B4777" s="852" t="s">
        <v>853</v>
      </c>
      <c r="C4777" s="176"/>
      <c r="D4777" s="176"/>
      <c r="E4777" s="176"/>
      <c r="F4777" s="176"/>
      <c r="G4777" s="176"/>
      <c r="H4777" s="175"/>
      <c r="I4777" s="168">
        <v>3</v>
      </c>
      <c r="J4777" s="188">
        <v>2</v>
      </c>
      <c r="K4777" s="189"/>
      <c r="L4777" s="677">
        <f>PRODUCT(C4777:K4777)</f>
        <v>6</v>
      </c>
    </row>
    <row r="4778" spans="2:12" ht="15">
      <c r="B4778" s="852" t="s">
        <v>823</v>
      </c>
      <c r="C4778" s="176"/>
      <c r="D4778" s="176"/>
      <c r="E4778" s="176"/>
      <c r="F4778" s="176"/>
      <c r="G4778" s="176"/>
      <c r="H4778" s="175"/>
      <c r="I4778" s="168">
        <v>7</v>
      </c>
      <c r="J4778" s="188">
        <v>2</v>
      </c>
      <c r="K4778" s="189"/>
      <c r="L4778" s="677">
        <f t="shared" ref="L4778:L4779" si="355">PRODUCT(C4778:K4778)</f>
        <v>14</v>
      </c>
    </row>
    <row r="4779" spans="2:12" ht="15">
      <c r="B4779" s="852" t="s">
        <v>854</v>
      </c>
      <c r="C4779" s="176"/>
      <c r="D4779" s="176"/>
      <c r="E4779" s="176"/>
      <c r="F4779" s="176"/>
      <c r="G4779" s="176"/>
      <c r="H4779" s="175"/>
      <c r="I4779" s="168">
        <v>7</v>
      </c>
      <c r="J4779" s="188">
        <v>2</v>
      </c>
      <c r="K4779" s="189"/>
      <c r="L4779" s="677">
        <f t="shared" si="355"/>
        <v>14</v>
      </c>
    </row>
    <row r="4780" spans="2:12" ht="15.75">
      <c r="B4780" s="981" t="s">
        <v>414</v>
      </c>
      <c r="C4780" s="982"/>
      <c r="D4780" s="982"/>
      <c r="E4780" s="982"/>
      <c r="F4780" s="982"/>
      <c r="G4780" s="982"/>
      <c r="H4780" s="982"/>
      <c r="I4780" s="982"/>
      <c r="J4780" s="982"/>
      <c r="K4780" s="982"/>
      <c r="L4780" s="983"/>
    </row>
    <row r="4781" spans="2:12" ht="15.75">
      <c r="B4781" s="756"/>
      <c r="C4781" s="757"/>
      <c r="D4781" s="757"/>
      <c r="E4781" s="757"/>
      <c r="F4781" s="757"/>
      <c r="G4781" s="757"/>
      <c r="H4781" s="757"/>
      <c r="I4781" s="757"/>
      <c r="J4781" s="757"/>
      <c r="K4781" s="757"/>
      <c r="L4781" s="758"/>
    </row>
    <row r="4782" spans="2:12" ht="15.75">
      <c r="B4782" s="638" t="s">
        <v>398</v>
      </c>
      <c r="C4782" s="8">
        <v>2.2999999999999998</v>
      </c>
      <c r="D4782" s="1008" t="s">
        <v>1033</v>
      </c>
      <c r="E4782" s="1009"/>
      <c r="F4782" s="1009"/>
      <c r="G4782" s="1009"/>
      <c r="H4782" s="1009"/>
      <c r="I4782" s="1009"/>
      <c r="J4782" s="1014"/>
      <c r="K4782" s="27"/>
      <c r="L4782" s="750"/>
    </row>
    <row r="4783" spans="2:12" ht="15">
      <c r="B4783" s="1005"/>
      <c r="C4783" s="1006"/>
      <c r="D4783" s="1006"/>
      <c r="E4783" s="1006"/>
      <c r="F4783" s="1006"/>
      <c r="G4783" s="1006"/>
      <c r="H4783" s="1006"/>
      <c r="I4783" s="1006"/>
      <c r="J4783" s="1006"/>
      <c r="K4783" s="1006"/>
      <c r="L4783" s="1007"/>
    </row>
    <row r="4784" spans="2:12" ht="63">
      <c r="B4784" s="642" t="s">
        <v>399</v>
      </c>
      <c r="C4784" s="25">
        <f>+'PROPUESTA ECONOMICA(Proponente)'!C549</f>
        <v>10.9</v>
      </c>
      <c r="D4784" s="12" t="str">
        <f>+VLOOKUP('MEMORIAS DE CANTIDADES'!C4784,'PROPUESTA ECONOMICA(Proponente)'!$C$379:$H$661,5,FALSE)</f>
        <v>Divisiones de Orinales en láminas de acero Galvanizada Cal-20 y espesor de e3 mm  y con herrajes en acero inoxidable, (Incluye suministro e instalación)</v>
      </c>
      <c r="E4784" s="13"/>
      <c r="F4784" s="12"/>
      <c r="G4784" s="12"/>
      <c r="H4784" s="12"/>
      <c r="I4784" s="11" t="s">
        <v>400</v>
      </c>
      <c r="J4784" s="12" t="str">
        <f>+VLOOKUP('MEMORIAS DE CANTIDADES'!C4784,'PROPUESTA ECONOMICA(Proponente)'!$C$379:$H$661,6,FALSE)</f>
        <v>Und</v>
      </c>
      <c r="K4784" s="11" t="s">
        <v>401</v>
      </c>
      <c r="L4784" s="643">
        <f>SUM(L4785:L4794)</f>
        <v>24</v>
      </c>
    </row>
    <row r="4785" spans="2:12" ht="15">
      <c r="B4785" s="644"/>
      <c r="C4785" s="16"/>
      <c r="D4785" s="15"/>
      <c r="E4785" s="15"/>
      <c r="F4785" s="15"/>
      <c r="G4785" s="15"/>
      <c r="H4785" s="15"/>
      <c r="I4785" s="15"/>
      <c r="J4785" s="15"/>
      <c r="K4785" s="17"/>
      <c r="L4785" s="645"/>
    </row>
    <row r="4786" spans="2:12" ht="47.25">
      <c r="B4786" s="646" t="s">
        <v>402</v>
      </c>
      <c r="C4786" s="18" t="s">
        <v>403</v>
      </c>
      <c r="D4786" s="18" t="s">
        <v>404</v>
      </c>
      <c r="E4786" s="18" t="s">
        <v>405</v>
      </c>
      <c r="F4786" s="18" t="s">
        <v>406</v>
      </c>
      <c r="G4786" s="18" t="s">
        <v>407</v>
      </c>
      <c r="H4786" s="5" t="s">
        <v>408</v>
      </c>
      <c r="I4786" s="18" t="s">
        <v>409</v>
      </c>
      <c r="J4786" s="5" t="s">
        <v>410</v>
      </c>
      <c r="K4786" s="5" t="s">
        <v>411</v>
      </c>
      <c r="L4786" s="647" t="s">
        <v>412</v>
      </c>
    </row>
    <row r="4787" spans="2:12" ht="15">
      <c r="B4787" s="648" t="s">
        <v>590</v>
      </c>
      <c r="C4787" s="19"/>
      <c r="D4787" s="19"/>
      <c r="E4787" s="19"/>
      <c r="F4787" s="19"/>
      <c r="G4787" s="20"/>
      <c r="H4787" s="68"/>
      <c r="I4787" s="183">
        <v>3</v>
      </c>
      <c r="J4787" s="184">
        <v>2</v>
      </c>
      <c r="K4787" s="17"/>
      <c r="L4787" s="762">
        <f>PRODUCT(C4787:K4787)</f>
        <v>6</v>
      </c>
    </row>
    <row r="4788" spans="2:12" ht="15">
      <c r="B4788" s="751" t="s">
        <v>853</v>
      </c>
      <c r="C4788" s="176"/>
      <c r="D4788" s="175"/>
      <c r="E4788" s="175"/>
      <c r="F4788" s="175"/>
      <c r="G4788" s="176"/>
      <c r="H4788" s="177"/>
      <c r="I4788" s="187">
        <v>3</v>
      </c>
      <c r="J4788" s="186">
        <v>2</v>
      </c>
      <c r="K4788" s="167"/>
      <c r="L4788" s="853">
        <f t="shared" ref="L4788:L4790" si="356">PRODUCT(C4788:K4788)</f>
        <v>6</v>
      </c>
    </row>
    <row r="4789" spans="2:12" ht="15">
      <c r="B4789" s="751" t="s">
        <v>823</v>
      </c>
      <c r="C4789" s="176"/>
      <c r="D4789" s="176"/>
      <c r="E4789" s="176"/>
      <c r="F4789" s="176"/>
      <c r="G4789" s="176"/>
      <c r="H4789" s="176"/>
      <c r="I4789" s="185">
        <v>3</v>
      </c>
      <c r="J4789" s="186">
        <v>2</v>
      </c>
      <c r="K4789" s="167"/>
      <c r="L4789" s="853">
        <f t="shared" si="356"/>
        <v>6</v>
      </c>
    </row>
    <row r="4790" spans="2:12" ht="15">
      <c r="B4790" s="650" t="s">
        <v>854</v>
      </c>
      <c r="C4790" s="176"/>
      <c r="D4790" s="176"/>
      <c r="E4790" s="176"/>
      <c r="F4790" s="176"/>
      <c r="G4790" s="176"/>
      <c r="H4790" s="175"/>
      <c r="I4790" s="185">
        <v>3</v>
      </c>
      <c r="J4790" s="186">
        <v>2</v>
      </c>
      <c r="K4790" s="167"/>
      <c r="L4790" s="853">
        <f t="shared" si="356"/>
        <v>6</v>
      </c>
    </row>
    <row r="4791" spans="2:12" ht="15">
      <c r="B4791" s="650"/>
      <c r="C4791" s="20"/>
      <c r="D4791" s="20"/>
      <c r="E4791" s="20"/>
      <c r="F4791" s="20"/>
      <c r="G4791" s="20"/>
      <c r="H4791" s="19"/>
      <c r="I4791" s="20"/>
      <c r="J4791" s="19"/>
      <c r="K4791" s="17"/>
      <c r="L4791" s="649"/>
    </row>
    <row r="4792" spans="2:12" ht="15">
      <c r="B4792" s="650"/>
      <c r="C4792" s="20"/>
      <c r="D4792" s="20"/>
      <c r="E4792" s="20"/>
      <c r="F4792" s="20"/>
      <c r="G4792" s="20"/>
      <c r="H4792" s="19"/>
      <c r="I4792" s="20"/>
      <c r="J4792" s="19"/>
      <c r="K4792" s="17"/>
      <c r="L4792" s="649"/>
    </row>
    <row r="4793" spans="2:12" ht="15">
      <c r="B4793" s="650"/>
      <c r="C4793" s="20"/>
      <c r="D4793" s="20"/>
      <c r="E4793" s="20"/>
      <c r="F4793" s="20"/>
      <c r="G4793" s="20"/>
      <c r="H4793" s="19"/>
      <c r="I4793" s="20"/>
      <c r="J4793" s="19"/>
      <c r="K4793" s="17"/>
      <c r="L4793" s="649"/>
    </row>
    <row r="4794" spans="2:12" ht="15.75">
      <c r="B4794" s="981" t="s">
        <v>414</v>
      </c>
      <c r="C4794" s="982"/>
      <c r="D4794" s="982"/>
      <c r="E4794" s="982"/>
      <c r="F4794" s="982"/>
      <c r="G4794" s="982"/>
      <c r="H4794" s="982"/>
      <c r="I4794" s="982"/>
      <c r="J4794" s="982"/>
      <c r="K4794" s="982"/>
      <c r="L4794" s="983"/>
    </row>
    <row r="4795" spans="2:12">
      <c r="B4795" s="651"/>
      <c r="L4795" s="652"/>
    </row>
    <row r="4796" spans="2:12" ht="15.6" customHeight="1">
      <c r="B4796" s="638" t="s">
        <v>398</v>
      </c>
      <c r="C4796" s="8">
        <v>11</v>
      </c>
      <c r="D4796" s="1008" t="s">
        <v>1034</v>
      </c>
      <c r="E4796" s="1009"/>
      <c r="F4796" s="1009"/>
      <c r="G4796" s="1009"/>
      <c r="H4796" s="1009"/>
      <c r="I4796" s="1009"/>
      <c r="J4796" s="1009"/>
      <c r="K4796" s="1009"/>
      <c r="L4796" s="1010"/>
    </row>
    <row r="4797" spans="2:12" ht="15">
      <c r="B4797" s="1005"/>
      <c r="C4797" s="1006"/>
      <c r="D4797" s="1006"/>
      <c r="E4797" s="1006"/>
      <c r="F4797" s="1006"/>
      <c r="G4797" s="1006"/>
      <c r="H4797" s="1006"/>
      <c r="I4797" s="1006"/>
      <c r="J4797" s="1006"/>
      <c r="K4797" s="1006"/>
      <c r="L4797" s="1007"/>
    </row>
    <row r="4798" spans="2:12" ht="47.25">
      <c r="B4798" s="642" t="s">
        <v>399</v>
      </c>
      <c r="C4798" s="25">
        <f>+'PROPUESTA ECONOMICA(Proponente)'!C552</f>
        <v>11.1</v>
      </c>
      <c r="D4798" s="12" t="str">
        <f>+VLOOKUP('MEMORIAS DE CANTIDADES'!C4798,'PROPUESTA ECONOMICA(Proponente)'!$C$379:$H$661,5,FALSE)</f>
        <v>Lavamanos de empotrar tipo san lorenzo de corona o similar, (incluye grifería, suministro e instalación).</v>
      </c>
      <c r="E4798" s="13"/>
      <c r="F4798" s="12"/>
      <c r="G4798" s="12"/>
      <c r="H4798" s="12"/>
      <c r="I4798" s="11" t="s">
        <v>400</v>
      </c>
      <c r="J4798" s="12" t="str">
        <f>+VLOOKUP('MEMORIAS DE CANTIDADES'!C4798,'PROPUESTA ECONOMICA(Proponente)'!$C$379:$H$661,6,FALSE)</f>
        <v>Und</v>
      </c>
      <c r="K4798" s="11" t="s">
        <v>401</v>
      </c>
      <c r="L4798" s="643">
        <f>SUM(L4799:L4806)</f>
        <v>53</v>
      </c>
    </row>
    <row r="4799" spans="2:12" ht="15">
      <c r="B4799" s="644"/>
      <c r="C4799" s="16"/>
      <c r="D4799" s="15"/>
      <c r="E4799" s="15"/>
      <c r="F4799" s="15"/>
      <c r="G4799" s="15"/>
      <c r="H4799" s="15"/>
      <c r="I4799" s="15"/>
      <c r="J4799" s="15"/>
      <c r="K4799" s="17"/>
      <c r="L4799" s="645"/>
    </row>
    <row r="4800" spans="2:12" ht="47.25">
      <c r="B4800" s="646" t="s">
        <v>402</v>
      </c>
      <c r="C4800" s="18" t="s">
        <v>403</v>
      </c>
      <c r="D4800" s="18" t="s">
        <v>404</v>
      </c>
      <c r="E4800" s="18" t="s">
        <v>405</v>
      </c>
      <c r="F4800" s="18" t="s">
        <v>406</v>
      </c>
      <c r="G4800" s="18" t="s">
        <v>407</v>
      </c>
      <c r="H4800" s="5" t="s">
        <v>408</v>
      </c>
      <c r="I4800" s="18" t="s">
        <v>409</v>
      </c>
      <c r="J4800" s="5" t="s">
        <v>410</v>
      </c>
      <c r="K4800" s="5" t="s">
        <v>411</v>
      </c>
      <c r="L4800" s="647" t="s">
        <v>412</v>
      </c>
    </row>
    <row r="4801" spans="2:12" ht="15">
      <c r="B4801" s="648" t="s">
        <v>541</v>
      </c>
      <c r="C4801" s="19"/>
      <c r="D4801" s="19"/>
      <c r="E4801" s="19"/>
      <c r="F4801" s="19"/>
      <c r="G4801" s="20"/>
      <c r="H4801" s="68"/>
      <c r="I4801" s="2">
        <v>2</v>
      </c>
      <c r="J4801" s="3">
        <v>5</v>
      </c>
      <c r="K4801" s="17"/>
      <c r="L4801" s="649">
        <f>PRODUCT(C4801:K4801)</f>
        <v>10</v>
      </c>
    </row>
    <row r="4802" spans="2:12" ht="15">
      <c r="B4802" s="751" t="s">
        <v>853</v>
      </c>
      <c r="C4802" s="176"/>
      <c r="D4802" s="175"/>
      <c r="E4802" s="175"/>
      <c r="F4802" s="175"/>
      <c r="G4802" s="176"/>
      <c r="H4802" s="177"/>
      <c r="I4802" s="189">
        <v>2</v>
      </c>
      <c r="J4802" s="188">
        <v>5</v>
      </c>
      <c r="K4802" s="167"/>
      <c r="L4802" s="677">
        <f t="shared" ref="L4802:L4805" si="357">PRODUCT(C4802:K4802)</f>
        <v>10</v>
      </c>
    </row>
    <row r="4803" spans="2:12" ht="15">
      <c r="B4803" s="751" t="s">
        <v>590</v>
      </c>
      <c r="C4803" s="20"/>
      <c r="D4803" s="20"/>
      <c r="E4803" s="20"/>
      <c r="F4803" s="20"/>
      <c r="G4803" s="20"/>
      <c r="H4803" s="20"/>
      <c r="I4803" s="23">
        <v>2</v>
      </c>
      <c r="J4803" s="47">
        <v>5</v>
      </c>
      <c r="K4803" s="17"/>
      <c r="L4803" s="649">
        <f t="shared" si="357"/>
        <v>10</v>
      </c>
    </row>
    <row r="4804" spans="2:12" ht="15">
      <c r="B4804" s="650" t="s">
        <v>557</v>
      </c>
      <c r="C4804" s="20"/>
      <c r="D4804" s="20"/>
      <c r="E4804" s="20"/>
      <c r="F4804" s="20"/>
      <c r="G4804" s="20"/>
      <c r="H4804" s="19"/>
      <c r="I4804" s="23"/>
      <c r="J4804" s="47">
        <v>3</v>
      </c>
      <c r="K4804" s="17"/>
      <c r="L4804" s="649">
        <f t="shared" si="357"/>
        <v>3</v>
      </c>
    </row>
    <row r="4805" spans="2:12" ht="15">
      <c r="B4805" s="650" t="s">
        <v>823</v>
      </c>
      <c r="C4805" s="176"/>
      <c r="D4805" s="176"/>
      <c r="E4805" s="176"/>
      <c r="F4805" s="176"/>
      <c r="G4805" s="176"/>
      <c r="H4805" s="175"/>
      <c r="I4805" s="168">
        <v>2</v>
      </c>
      <c r="J4805" s="188">
        <v>5</v>
      </c>
      <c r="K4805" s="167"/>
      <c r="L4805" s="677">
        <f t="shared" si="357"/>
        <v>10</v>
      </c>
    </row>
    <row r="4806" spans="2:12" ht="15">
      <c r="B4806" s="650" t="s">
        <v>854</v>
      </c>
      <c r="C4806" s="176"/>
      <c r="D4806" s="176"/>
      <c r="E4806" s="176"/>
      <c r="F4806" s="176"/>
      <c r="G4806" s="176"/>
      <c r="H4806" s="175"/>
      <c r="I4806" s="168">
        <v>2</v>
      </c>
      <c r="J4806" s="188">
        <v>5</v>
      </c>
      <c r="K4806" s="167"/>
      <c r="L4806" s="677">
        <f t="shared" ref="L4806" si="358">PRODUCT(C4806:K4806)</f>
        <v>10</v>
      </c>
    </row>
    <row r="4807" spans="2:12">
      <c r="B4807" s="651"/>
      <c r="L4807" s="652"/>
    </row>
    <row r="4808" spans="2:12" ht="15.6" customHeight="1">
      <c r="B4808" s="638" t="s">
        <v>398</v>
      </c>
      <c r="C4808" s="8">
        <v>11</v>
      </c>
      <c r="D4808" s="1008" t="s">
        <v>1034</v>
      </c>
      <c r="E4808" s="1009"/>
      <c r="F4808" s="1009"/>
      <c r="G4808" s="1009"/>
      <c r="H4808" s="1009"/>
      <c r="I4808" s="1009"/>
      <c r="J4808" s="1009"/>
      <c r="K4808" s="1009"/>
      <c r="L4808" s="1010"/>
    </row>
    <row r="4809" spans="2:12" ht="15">
      <c r="B4809" s="1005"/>
      <c r="C4809" s="1006"/>
      <c r="D4809" s="1006"/>
      <c r="E4809" s="1006"/>
      <c r="F4809" s="1006"/>
      <c r="G4809" s="1006"/>
      <c r="H4809" s="1006"/>
      <c r="I4809" s="1006"/>
      <c r="J4809" s="1006"/>
      <c r="K4809" s="1006"/>
      <c r="L4809" s="1007"/>
    </row>
    <row r="4810" spans="2:12" ht="31.5">
      <c r="B4810" s="642" t="s">
        <v>399</v>
      </c>
      <c r="C4810" s="25">
        <f>+'PROPUESTA ECONOMICA(Proponente)'!C553</f>
        <v>11.2</v>
      </c>
      <c r="D4810" s="12" t="str">
        <f>+VLOOKUP('MEMORIAS DE CANTIDADES'!C4810,'PROPUESTA ECONOMICA(Proponente)'!$C$379:$H$661,5,FALSE)</f>
        <v>Suministro instalación de orinales Colgantes de uso institucional  incluye grifería y acceso</v>
      </c>
      <c r="E4810" s="13"/>
      <c r="F4810" s="12"/>
      <c r="G4810" s="12"/>
      <c r="H4810" s="12"/>
      <c r="I4810" s="11" t="s">
        <v>400</v>
      </c>
      <c r="J4810" s="12" t="str">
        <f>+VLOOKUP('MEMORIAS DE CANTIDADES'!C4810,'PROPUESTA ECONOMICA(Proponente)'!$C$379:$H$661,6,FALSE)</f>
        <v>Und</v>
      </c>
      <c r="K4810" s="11" t="s">
        <v>401</v>
      </c>
      <c r="L4810" s="643">
        <f>SUM(L4811:L4818)</f>
        <v>32</v>
      </c>
    </row>
    <row r="4811" spans="2:12" ht="15">
      <c r="B4811" s="644"/>
      <c r="C4811" s="16"/>
      <c r="D4811" s="15"/>
      <c r="E4811" s="15"/>
      <c r="F4811" s="15"/>
      <c r="G4811" s="15"/>
      <c r="H4811" s="15"/>
      <c r="I4811" s="15"/>
      <c r="J4811" s="15"/>
      <c r="K4811" s="17"/>
      <c r="L4811" s="645"/>
    </row>
    <row r="4812" spans="2:12" ht="47.25">
      <c r="B4812" s="646" t="s">
        <v>402</v>
      </c>
      <c r="C4812" s="18" t="s">
        <v>403</v>
      </c>
      <c r="D4812" s="18" t="s">
        <v>404</v>
      </c>
      <c r="E4812" s="18" t="s">
        <v>405</v>
      </c>
      <c r="F4812" s="18" t="s">
        <v>406</v>
      </c>
      <c r="G4812" s="18" t="s">
        <v>407</v>
      </c>
      <c r="H4812" s="5" t="s">
        <v>408</v>
      </c>
      <c r="I4812" s="18" t="s">
        <v>409</v>
      </c>
      <c r="J4812" s="5" t="s">
        <v>410</v>
      </c>
      <c r="K4812" s="5" t="s">
        <v>411</v>
      </c>
      <c r="L4812" s="647" t="s">
        <v>412</v>
      </c>
    </row>
    <row r="4813" spans="2:12" ht="15">
      <c r="B4813" s="648" t="s">
        <v>590</v>
      </c>
      <c r="C4813" s="19"/>
      <c r="D4813" s="19"/>
      <c r="E4813" s="19"/>
      <c r="F4813" s="19"/>
      <c r="G4813" s="20"/>
      <c r="H4813" s="68"/>
      <c r="I4813" s="3">
        <v>4</v>
      </c>
      <c r="J4813" s="3">
        <v>2</v>
      </c>
      <c r="K4813" s="17"/>
      <c r="L4813" s="649">
        <f>PRODUCT(C4813:K4813)</f>
        <v>8</v>
      </c>
    </row>
    <row r="4814" spans="2:12" ht="15">
      <c r="B4814" s="751" t="s">
        <v>853</v>
      </c>
      <c r="C4814" s="20"/>
      <c r="D4814" s="19"/>
      <c r="E4814" s="19"/>
      <c r="F4814" s="19"/>
      <c r="G4814" s="20"/>
      <c r="H4814" s="68"/>
      <c r="I4814" s="3">
        <v>4</v>
      </c>
      <c r="J4814" s="47">
        <v>2</v>
      </c>
      <c r="K4814" s="17"/>
      <c r="L4814" s="649">
        <f t="shared" ref="L4814:L4815" si="359">PRODUCT(C4814:K4814)</f>
        <v>8</v>
      </c>
    </row>
    <row r="4815" spans="2:12" ht="15">
      <c r="B4815" s="751" t="s">
        <v>823</v>
      </c>
      <c r="C4815" s="20"/>
      <c r="D4815" s="20"/>
      <c r="E4815" s="20"/>
      <c r="F4815" s="20"/>
      <c r="G4815" s="20"/>
      <c r="H4815" s="20"/>
      <c r="I4815" s="47">
        <v>4</v>
      </c>
      <c r="J4815" s="47">
        <v>2</v>
      </c>
      <c r="K4815" s="17"/>
      <c r="L4815" s="649">
        <f t="shared" si="359"/>
        <v>8</v>
      </c>
    </row>
    <row r="4816" spans="2:12" ht="15">
      <c r="B4816" s="650" t="s">
        <v>854</v>
      </c>
      <c r="C4816" s="20"/>
      <c r="D4816" s="20"/>
      <c r="E4816" s="20"/>
      <c r="F4816" s="20"/>
      <c r="G4816" s="20"/>
      <c r="H4816" s="19"/>
      <c r="I4816" s="47">
        <v>4</v>
      </c>
      <c r="J4816" s="47">
        <v>2</v>
      </c>
      <c r="K4816" s="17"/>
      <c r="L4816" s="649">
        <f t="shared" ref="L4816:L4817" si="360">PRODUCT(C4816:K4816)</f>
        <v>8</v>
      </c>
    </row>
    <row r="4817" spans="2:12" ht="15">
      <c r="B4817" s="650"/>
      <c r="C4817" s="20"/>
      <c r="D4817" s="20"/>
      <c r="E4817" s="20"/>
      <c r="F4817" s="20"/>
      <c r="G4817" s="20"/>
      <c r="H4817" s="19"/>
      <c r="I4817" s="20"/>
      <c r="J4817" s="19"/>
      <c r="K4817" s="17"/>
      <c r="L4817" s="649">
        <f t="shared" si="360"/>
        <v>0</v>
      </c>
    </row>
    <row r="4818" spans="2:12" ht="15.75">
      <c r="B4818" s="981" t="s">
        <v>414</v>
      </c>
      <c r="C4818" s="982"/>
      <c r="D4818" s="982"/>
      <c r="E4818" s="982"/>
      <c r="F4818" s="982"/>
      <c r="G4818" s="982"/>
      <c r="H4818" s="982"/>
      <c r="I4818" s="982"/>
      <c r="J4818" s="982"/>
      <c r="K4818" s="982"/>
      <c r="L4818" s="983"/>
    </row>
    <row r="4819" spans="2:12">
      <c r="B4819" s="651"/>
      <c r="L4819" s="652"/>
    </row>
    <row r="4820" spans="2:12" ht="15.6" customHeight="1">
      <c r="B4820" s="638" t="s">
        <v>398</v>
      </c>
      <c r="C4820" s="8">
        <v>11</v>
      </c>
      <c r="D4820" s="1008" t="s">
        <v>1034</v>
      </c>
      <c r="E4820" s="1009"/>
      <c r="F4820" s="1009"/>
      <c r="G4820" s="1009"/>
      <c r="H4820" s="1009"/>
      <c r="I4820" s="1009"/>
      <c r="J4820" s="1009"/>
      <c r="K4820" s="1009"/>
      <c r="L4820" s="1010"/>
    </row>
    <row r="4821" spans="2:12" ht="15">
      <c r="B4821" s="1005"/>
      <c r="C4821" s="1006"/>
      <c r="D4821" s="1006"/>
      <c r="E4821" s="1006"/>
      <c r="F4821" s="1006"/>
      <c r="G4821" s="1006"/>
      <c r="H4821" s="1006"/>
      <c r="I4821" s="1006"/>
      <c r="J4821" s="1006"/>
      <c r="K4821" s="1006"/>
      <c r="L4821" s="1007"/>
    </row>
    <row r="4822" spans="2:12" ht="31.5">
      <c r="B4822" s="642" t="s">
        <v>399</v>
      </c>
      <c r="C4822" s="25">
        <f>+'PROPUESTA ECONOMICA(Proponente)'!C554</f>
        <v>11.3</v>
      </c>
      <c r="D4822" s="12" t="str">
        <f>+VLOOKUP('MEMORIAS DE CANTIDADES'!C4822,'PROPUESTA ECONOMICA(Proponente)'!$C$379:$H$661,5,FALSE)</f>
        <v>Sanitario de tanque color blanco tipo corona o similar, línea institucional</v>
      </c>
      <c r="E4822" s="13"/>
      <c r="F4822" s="12"/>
      <c r="G4822" s="12"/>
      <c r="H4822" s="12"/>
      <c r="I4822" s="11" t="s">
        <v>400</v>
      </c>
      <c r="J4822" s="12" t="str">
        <f>+VLOOKUP('MEMORIAS DE CANTIDADES'!C4822,'PROPUESTA ECONOMICA(Proponente)'!$C$379:$H$661,6,FALSE)</f>
        <v>Und</v>
      </c>
      <c r="K4822" s="11" t="s">
        <v>401</v>
      </c>
      <c r="L4822" s="643">
        <f>SUM(L4823:L4830)</f>
        <v>43</v>
      </c>
    </row>
    <row r="4823" spans="2:12" ht="15">
      <c r="B4823" s="644"/>
      <c r="C4823" s="16"/>
      <c r="D4823" s="15"/>
      <c r="E4823" s="15"/>
      <c r="F4823" s="15"/>
      <c r="G4823" s="15"/>
      <c r="H4823" s="15"/>
      <c r="I4823" s="15"/>
      <c r="J4823" s="15"/>
      <c r="K4823" s="17"/>
      <c r="L4823" s="645"/>
    </row>
    <row r="4824" spans="2:12" ht="47.25">
      <c r="B4824" s="646" t="s">
        <v>402</v>
      </c>
      <c r="C4824" s="18" t="s">
        <v>403</v>
      </c>
      <c r="D4824" s="18" t="s">
        <v>404</v>
      </c>
      <c r="E4824" s="18" t="s">
        <v>405</v>
      </c>
      <c r="F4824" s="18" t="s">
        <v>406</v>
      </c>
      <c r="G4824" s="18" t="s">
        <v>407</v>
      </c>
      <c r="H4824" s="5" t="s">
        <v>408</v>
      </c>
      <c r="I4824" s="18" t="s">
        <v>409</v>
      </c>
      <c r="J4824" s="5" t="s">
        <v>410</v>
      </c>
      <c r="K4824" s="5" t="s">
        <v>411</v>
      </c>
      <c r="L4824" s="647" t="s">
        <v>412</v>
      </c>
    </row>
    <row r="4825" spans="2:12" ht="15">
      <c r="B4825" s="648" t="s">
        <v>590</v>
      </c>
      <c r="C4825" s="19"/>
      <c r="D4825" s="19"/>
      <c r="E4825" s="19"/>
      <c r="F4825" s="19"/>
      <c r="G4825" s="20"/>
      <c r="H4825" s="68"/>
      <c r="I4825" s="3">
        <v>2</v>
      </c>
      <c r="J4825" s="3">
        <v>7</v>
      </c>
      <c r="K4825" s="17"/>
      <c r="L4825" s="649">
        <f>PRODUCT(C4825:K4825)</f>
        <v>14</v>
      </c>
    </row>
    <row r="4826" spans="2:12" ht="15">
      <c r="B4826" s="648" t="s">
        <v>541</v>
      </c>
      <c r="C4826" s="20"/>
      <c r="D4826" s="19"/>
      <c r="E4826" s="19"/>
      <c r="F4826" s="19"/>
      <c r="G4826" s="20"/>
      <c r="H4826" s="68"/>
      <c r="I4826" s="3">
        <v>2</v>
      </c>
      <c r="J4826" s="47">
        <v>7</v>
      </c>
      <c r="K4826" s="17"/>
      <c r="L4826" s="649">
        <f t="shared" ref="L4826:L4828" si="361">PRODUCT(C4826:K4826)</f>
        <v>14</v>
      </c>
    </row>
    <row r="4827" spans="2:12" ht="15">
      <c r="B4827" s="650" t="s">
        <v>438</v>
      </c>
      <c r="C4827" s="20"/>
      <c r="D4827" s="20"/>
      <c r="E4827" s="20"/>
      <c r="F4827" s="20"/>
      <c r="G4827" s="20"/>
      <c r="H4827" s="20"/>
      <c r="I4827" s="47"/>
      <c r="J4827" s="47">
        <v>1</v>
      </c>
      <c r="K4827" s="17"/>
      <c r="L4827" s="649">
        <f t="shared" si="361"/>
        <v>1</v>
      </c>
    </row>
    <row r="4828" spans="2:12" ht="15">
      <c r="B4828" s="650" t="s">
        <v>464</v>
      </c>
      <c r="C4828" s="20"/>
      <c r="D4828" s="20"/>
      <c r="E4828" s="20"/>
      <c r="F4828" s="20"/>
      <c r="G4828" s="20"/>
      <c r="H4828" s="19"/>
      <c r="I4828" s="47"/>
      <c r="J4828" s="47">
        <v>2</v>
      </c>
      <c r="K4828" s="17"/>
      <c r="L4828" s="649">
        <f t="shared" si="361"/>
        <v>2</v>
      </c>
    </row>
    <row r="4829" spans="2:12" ht="15">
      <c r="B4829" s="650" t="s">
        <v>853</v>
      </c>
      <c r="C4829" s="176"/>
      <c r="D4829" s="176"/>
      <c r="E4829" s="176"/>
      <c r="F4829" s="176"/>
      <c r="G4829" s="176"/>
      <c r="H4829" s="175"/>
      <c r="I4829" s="188">
        <v>2</v>
      </c>
      <c r="J4829" s="188">
        <v>2</v>
      </c>
      <c r="K4829" s="167"/>
      <c r="L4829" s="677">
        <f>PRODUCT(C4829:K4829)</f>
        <v>4</v>
      </c>
    </row>
    <row r="4830" spans="2:12" ht="15">
      <c r="B4830" s="650" t="s">
        <v>823</v>
      </c>
      <c r="C4830" s="176"/>
      <c r="D4830" s="176"/>
      <c r="E4830" s="176"/>
      <c r="F4830" s="176"/>
      <c r="G4830" s="176"/>
      <c r="H4830" s="175"/>
      <c r="I4830" s="188">
        <v>2</v>
      </c>
      <c r="J4830" s="188">
        <v>4</v>
      </c>
      <c r="K4830" s="167"/>
      <c r="L4830" s="677">
        <f t="shared" ref="L4830:L4831" si="362">PRODUCT(C4830:K4830)</f>
        <v>8</v>
      </c>
    </row>
    <row r="4831" spans="2:12" ht="15">
      <c r="B4831" s="650" t="s">
        <v>854</v>
      </c>
      <c r="C4831" s="176"/>
      <c r="D4831" s="176"/>
      <c r="E4831" s="176"/>
      <c r="F4831" s="176"/>
      <c r="G4831" s="176"/>
      <c r="H4831" s="175"/>
      <c r="I4831" s="188">
        <v>2</v>
      </c>
      <c r="J4831" s="188">
        <v>4</v>
      </c>
      <c r="K4831" s="167"/>
      <c r="L4831" s="677">
        <f t="shared" si="362"/>
        <v>8</v>
      </c>
    </row>
    <row r="4832" spans="2:12" ht="15.6" customHeight="1">
      <c r="B4832" s="638" t="s">
        <v>398</v>
      </c>
      <c r="C4832" s="8">
        <v>11</v>
      </c>
      <c r="D4832" s="1008" t="s">
        <v>1034</v>
      </c>
      <c r="E4832" s="1009"/>
      <c r="F4832" s="1009"/>
      <c r="G4832" s="1009"/>
      <c r="H4832" s="1009"/>
      <c r="I4832" s="1009"/>
      <c r="J4832" s="1009"/>
      <c r="K4832" s="1009"/>
      <c r="L4832" s="1010"/>
    </row>
    <row r="4833" spans="2:12" ht="15">
      <c r="B4833" s="1005"/>
      <c r="C4833" s="1006"/>
      <c r="D4833" s="1006"/>
      <c r="E4833" s="1006"/>
      <c r="F4833" s="1006"/>
      <c r="G4833" s="1006"/>
      <c r="H4833" s="1006"/>
      <c r="I4833" s="1006"/>
      <c r="J4833" s="1006"/>
      <c r="K4833" s="1006"/>
      <c r="L4833" s="1007"/>
    </row>
    <row r="4834" spans="2:12" ht="31.5">
      <c r="B4834" s="642" t="s">
        <v>399</v>
      </c>
      <c r="C4834" s="25">
        <f>+'PROPUESTA ECONOMICA(Proponente)'!C555</f>
        <v>11.4</v>
      </c>
      <c r="D4834" s="12" t="str">
        <f>+VLOOKUP('MEMORIAS DE CANTIDADES'!C4834,'PROPUESTA ECONOMICA(Proponente)'!$C$379:$H$661,5,FALSE)</f>
        <v>Sanitario para discapacitados color blanco tipo corona o similar, línea institucional</v>
      </c>
      <c r="E4834" s="13"/>
      <c r="F4834" s="12"/>
      <c r="G4834" s="12"/>
      <c r="H4834" s="12"/>
      <c r="I4834" s="11" t="s">
        <v>400</v>
      </c>
      <c r="J4834" s="12" t="str">
        <f>+VLOOKUP('MEMORIAS DE CANTIDADES'!C4834,'PROPUESTA ECONOMICA(Proponente)'!$C$379:$H$661,6,FALSE)</f>
        <v>Und</v>
      </c>
      <c r="K4834" s="11" t="s">
        <v>401</v>
      </c>
      <c r="L4834" s="643">
        <f>SUM(L4835:L4842)</f>
        <v>4</v>
      </c>
    </row>
    <row r="4835" spans="2:12" ht="15">
      <c r="B4835" s="854"/>
      <c r="C4835" s="16"/>
      <c r="D4835" s="15"/>
      <c r="E4835" s="15"/>
      <c r="F4835" s="15"/>
      <c r="G4835" s="15"/>
      <c r="H4835" s="15"/>
      <c r="I4835" s="15"/>
      <c r="J4835" s="15"/>
      <c r="K4835" s="17"/>
      <c r="L4835" s="645"/>
    </row>
    <row r="4836" spans="2:12" ht="47.25">
      <c r="B4836" s="646" t="s">
        <v>402</v>
      </c>
      <c r="C4836" s="18" t="s">
        <v>403</v>
      </c>
      <c r="D4836" s="18" t="s">
        <v>404</v>
      </c>
      <c r="E4836" s="18" t="s">
        <v>405</v>
      </c>
      <c r="F4836" s="18" t="s">
        <v>406</v>
      </c>
      <c r="G4836" s="18" t="s">
        <v>407</v>
      </c>
      <c r="H4836" s="5" t="s">
        <v>408</v>
      </c>
      <c r="I4836" s="18" t="s">
        <v>409</v>
      </c>
      <c r="J4836" s="5" t="s">
        <v>410</v>
      </c>
      <c r="K4836" s="5" t="s">
        <v>411</v>
      </c>
      <c r="L4836" s="647" t="s">
        <v>412</v>
      </c>
    </row>
    <row r="4837" spans="2:12" ht="15">
      <c r="B4837" s="648" t="s">
        <v>590</v>
      </c>
      <c r="C4837" s="19"/>
      <c r="D4837" s="19"/>
      <c r="E4837" s="19"/>
      <c r="F4837" s="19"/>
      <c r="G4837" s="20"/>
      <c r="H4837" s="68"/>
      <c r="I4837" s="28">
        <v>2</v>
      </c>
      <c r="J4837" s="28">
        <v>1</v>
      </c>
      <c r="K4837" s="17"/>
      <c r="L4837" s="649">
        <f>PRODUCT(C4837:K4837)</f>
        <v>2</v>
      </c>
    </row>
    <row r="4838" spans="2:12" ht="15">
      <c r="B4838" s="648" t="s">
        <v>541</v>
      </c>
      <c r="C4838" s="20"/>
      <c r="D4838" s="19"/>
      <c r="E4838" s="19"/>
      <c r="F4838" s="19"/>
      <c r="G4838" s="20"/>
      <c r="H4838" s="68"/>
      <c r="I4838" s="28">
        <v>2</v>
      </c>
      <c r="J4838" s="19">
        <v>1</v>
      </c>
      <c r="K4838" s="17"/>
      <c r="L4838" s="649">
        <f t="shared" ref="L4838:L4839" si="363">PRODUCT(C4838:K4838)</f>
        <v>2</v>
      </c>
    </row>
    <row r="4839" spans="2:12" ht="15">
      <c r="B4839" s="650"/>
      <c r="C4839" s="20"/>
      <c r="D4839" s="20"/>
      <c r="E4839" s="20"/>
      <c r="F4839" s="20"/>
      <c r="G4839" s="20"/>
      <c r="H4839" s="20"/>
      <c r="I4839" s="20"/>
      <c r="J4839" s="19"/>
      <c r="K4839" s="17"/>
      <c r="L4839" s="649">
        <f t="shared" si="363"/>
        <v>0</v>
      </c>
    </row>
    <row r="4840" spans="2:12" ht="15">
      <c r="B4840" s="650"/>
      <c r="C4840" s="20"/>
      <c r="D4840" s="20"/>
      <c r="E4840" s="20"/>
      <c r="F4840" s="20"/>
      <c r="G4840" s="20"/>
      <c r="H4840" s="19"/>
      <c r="I4840" s="20"/>
      <c r="J4840" s="19"/>
      <c r="K4840" s="17"/>
      <c r="L4840" s="649"/>
    </row>
    <row r="4841" spans="2:12" ht="15">
      <c r="B4841" s="650"/>
      <c r="C4841" s="20"/>
      <c r="D4841" s="20"/>
      <c r="E4841" s="20"/>
      <c r="F4841" s="20"/>
      <c r="G4841" s="20"/>
      <c r="H4841" s="19"/>
      <c r="I4841" s="20"/>
      <c r="J4841" s="19"/>
      <c r="K4841" s="17"/>
      <c r="L4841" s="649"/>
    </row>
    <row r="4842" spans="2:12" ht="15.75">
      <c r="B4842" s="981" t="s">
        <v>414</v>
      </c>
      <c r="C4842" s="982"/>
      <c r="D4842" s="982"/>
      <c r="E4842" s="982"/>
      <c r="F4842" s="982"/>
      <c r="G4842" s="982"/>
      <c r="H4842" s="982"/>
      <c r="I4842" s="982"/>
      <c r="J4842" s="982"/>
      <c r="K4842" s="982"/>
      <c r="L4842" s="983"/>
    </row>
    <row r="4843" spans="2:12">
      <c r="B4843" s="651"/>
      <c r="L4843" s="652"/>
    </row>
    <row r="4844" spans="2:12" ht="15.6" customHeight="1">
      <c r="B4844" s="638" t="s">
        <v>398</v>
      </c>
      <c r="C4844" s="8">
        <v>11</v>
      </c>
      <c r="D4844" s="1008" t="s">
        <v>1034</v>
      </c>
      <c r="E4844" s="1009"/>
      <c r="F4844" s="1009"/>
      <c r="G4844" s="1009"/>
      <c r="H4844" s="1009"/>
      <c r="I4844" s="1009"/>
      <c r="J4844" s="1009"/>
      <c r="K4844" s="1009"/>
      <c r="L4844" s="1010"/>
    </row>
    <row r="4845" spans="2:12" ht="15">
      <c r="B4845" s="1005"/>
      <c r="C4845" s="1006"/>
      <c r="D4845" s="1006"/>
      <c r="E4845" s="1006"/>
      <c r="F4845" s="1006"/>
      <c r="G4845" s="1006"/>
      <c r="H4845" s="1006"/>
      <c r="I4845" s="1006"/>
      <c r="J4845" s="1006"/>
      <c r="K4845" s="1006"/>
      <c r="L4845" s="1007"/>
    </row>
    <row r="4846" spans="2:12" ht="31.5">
      <c r="B4846" s="642" t="s">
        <v>399</v>
      </c>
      <c r="C4846" s="25">
        <f>+'PROPUESTA ECONOMICA(Proponente)'!C556</f>
        <v>11.5</v>
      </c>
      <c r="D4846" s="12" t="str">
        <f>+VLOOKUP('MEMORIAS DE CANTIDADES'!C4846,'PROPUESTA ECONOMICA(Proponente)'!$C$379:$H$661,5,FALSE)</f>
        <v>Dispensador de toallas de papel en acero inoxidable</v>
      </c>
      <c r="E4846" s="13"/>
      <c r="F4846" s="12"/>
      <c r="G4846" s="12"/>
      <c r="H4846" s="12"/>
      <c r="I4846" s="11" t="s">
        <v>400</v>
      </c>
      <c r="J4846" s="12" t="str">
        <f>+VLOOKUP('MEMORIAS DE CANTIDADES'!C4846,'PROPUESTA ECONOMICA(Proponente)'!$C$379:$H$661,6,FALSE)</f>
        <v>Und</v>
      </c>
      <c r="K4846" s="11" t="s">
        <v>401</v>
      </c>
      <c r="L4846" s="643">
        <f>SUM(L4847:L4854)</f>
        <v>18</v>
      </c>
    </row>
    <row r="4847" spans="2:12" ht="15">
      <c r="B4847" s="644"/>
      <c r="C4847" s="16"/>
      <c r="D4847" s="15"/>
      <c r="E4847" s="15"/>
      <c r="F4847" s="15"/>
      <c r="G4847" s="15"/>
      <c r="H4847" s="15"/>
      <c r="I4847" s="15"/>
      <c r="J4847" s="15"/>
      <c r="K4847" s="17"/>
      <c r="L4847" s="645"/>
    </row>
    <row r="4848" spans="2:12" ht="47.25">
      <c r="B4848" s="646" t="s">
        <v>402</v>
      </c>
      <c r="C4848" s="18" t="s">
        <v>403</v>
      </c>
      <c r="D4848" s="18" t="s">
        <v>404</v>
      </c>
      <c r="E4848" s="18" t="s">
        <v>405</v>
      </c>
      <c r="F4848" s="18" t="s">
        <v>406</v>
      </c>
      <c r="G4848" s="18" t="s">
        <v>407</v>
      </c>
      <c r="H4848" s="5" t="s">
        <v>408</v>
      </c>
      <c r="I4848" s="18" t="s">
        <v>409</v>
      </c>
      <c r="J4848" s="5" t="s">
        <v>410</v>
      </c>
      <c r="K4848" s="5" t="s">
        <v>411</v>
      </c>
      <c r="L4848" s="647" t="s">
        <v>412</v>
      </c>
    </row>
    <row r="4849" spans="2:12" ht="15">
      <c r="B4849" s="648" t="s">
        <v>590</v>
      </c>
      <c r="C4849" s="19"/>
      <c r="D4849" s="19"/>
      <c r="E4849" s="19"/>
      <c r="F4849" s="19"/>
      <c r="G4849" s="20"/>
      <c r="H4849" s="68"/>
      <c r="I4849" s="28">
        <v>2</v>
      </c>
      <c r="J4849" s="28">
        <v>2</v>
      </c>
      <c r="K4849" s="17"/>
      <c r="L4849" s="649">
        <f>PRODUCT(C4849:K4849)</f>
        <v>4</v>
      </c>
    </row>
    <row r="4850" spans="2:12" ht="15">
      <c r="B4850" s="751" t="s">
        <v>541</v>
      </c>
      <c r="C4850" s="20"/>
      <c r="D4850" s="19"/>
      <c r="E4850" s="19"/>
      <c r="F4850" s="19"/>
      <c r="G4850" s="20"/>
      <c r="H4850" s="68"/>
      <c r="I4850" s="28">
        <v>2</v>
      </c>
      <c r="J4850" s="28">
        <v>2</v>
      </c>
      <c r="K4850" s="17"/>
      <c r="L4850" s="649">
        <f t="shared" ref="L4850:L4853" si="364">PRODUCT(C4850:K4850)</f>
        <v>4</v>
      </c>
    </row>
    <row r="4851" spans="2:12" ht="15">
      <c r="B4851" s="650" t="s">
        <v>853</v>
      </c>
      <c r="C4851" s="20"/>
      <c r="D4851" s="20"/>
      <c r="E4851" s="20"/>
      <c r="F4851" s="20"/>
      <c r="G4851" s="20"/>
      <c r="H4851" s="20"/>
      <c r="I4851" s="28">
        <v>1</v>
      </c>
      <c r="J4851" s="28">
        <v>2</v>
      </c>
      <c r="K4851" s="17"/>
      <c r="L4851" s="649">
        <f t="shared" si="364"/>
        <v>2</v>
      </c>
    </row>
    <row r="4852" spans="2:12" ht="15">
      <c r="B4852" s="650" t="s">
        <v>823</v>
      </c>
      <c r="C4852" s="20"/>
      <c r="D4852" s="20"/>
      <c r="E4852" s="20"/>
      <c r="F4852" s="20"/>
      <c r="G4852" s="20"/>
      <c r="H4852" s="19"/>
      <c r="I4852" s="28">
        <v>2</v>
      </c>
      <c r="J4852" s="28">
        <v>2</v>
      </c>
      <c r="K4852" s="17"/>
      <c r="L4852" s="649">
        <f t="shared" si="364"/>
        <v>4</v>
      </c>
    </row>
    <row r="4853" spans="2:12" ht="15">
      <c r="B4853" s="650" t="s">
        <v>854</v>
      </c>
      <c r="C4853" s="20"/>
      <c r="D4853" s="20"/>
      <c r="E4853" s="20"/>
      <c r="F4853" s="20"/>
      <c r="G4853" s="20"/>
      <c r="H4853" s="19"/>
      <c r="I4853" s="28">
        <v>2</v>
      </c>
      <c r="J4853" s="28">
        <v>2</v>
      </c>
      <c r="K4853" s="17"/>
      <c r="L4853" s="649">
        <f t="shared" si="364"/>
        <v>4</v>
      </c>
    </row>
    <row r="4854" spans="2:12" ht="15.75">
      <c r="B4854" s="981" t="s">
        <v>414</v>
      </c>
      <c r="C4854" s="982"/>
      <c r="D4854" s="982"/>
      <c r="E4854" s="982"/>
      <c r="F4854" s="982"/>
      <c r="G4854" s="982"/>
      <c r="H4854" s="982"/>
      <c r="I4854" s="982"/>
      <c r="J4854" s="982"/>
      <c r="K4854" s="982"/>
      <c r="L4854" s="983"/>
    </row>
    <row r="4855" spans="2:12">
      <c r="B4855" s="651"/>
      <c r="L4855" s="652"/>
    </row>
    <row r="4856" spans="2:12" ht="15.6" customHeight="1">
      <c r="B4856" s="638" t="s">
        <v>398</v>
      </c>
      <c r="C4856" s="8">
        <v>11</v>
      </c>
      <c r="D4856" s="1008" t="s">
        <v>1034</v>
      </c>
      <c r="E4856" s="1009"/>
      <c r="F4856" s="1009"/>
      <c r="G4856" s="1009"/>
      <c r="H4856" s="1009"/>
      <c r="I4856" s="1009"/>
      <c r="J4856" s="1009"/>
      <c r="K4856" s="1009"/>
      <c r="L4856" s="1010"/>
    </row>
    <row r="4857" spans="2:12" ht="15">
      <c r="B4857" s="1005"/>
      <c r="C4857" s="1006"/>
      <c r="D4857" s="1006"/>
      <c r="E4857" s="1006"/>
      <c r="F4857" s="1006"/>
      <c r="G4857" s="1006"/>
      <c r="H4857" s="1006"/>
      <c r="I4857" s="1006"/>
      <c r="J4857" s="1006"/>
      <c r="K4857" s="1006"/>
      <c r="L4857" s="1007"/>
    </row>
    <row r="4858" spans="2:12" ht="31.5">
      <c r="B4858" s="642" t="s">
        <v>399</v>
      </c>
      <c r="C4858" s="25">
        <f>+'PROPUESTA ECONOMICA(Proponente)'!C557</f>
        <v>11.6</v>
      </c>
      <c r="D4858" s="12" t="str">
        <f>+VLOOKUP('MEMORIAS DE CANTIDADES'!C4858,'PROPUESTA ECONOMICA(Proponente)'!$C$379:$H$661,5,FALSE)</f>
        <v>Dispensador de jabón liquido en acero inoxidable</v>
      </c>
      <c r="E4858" s="13"/>
      <c r="F4858" s="12"/>
      <c r="G4858" s="12"/>
      <c r="H4858" s="12"/>
      <c r="I4858" s="11" t="s">
        <v>400</v>
      </c>
      <c r="J4858" s="12" t="str">
        <f>+VLOOKUP('MEMORIAS DE CANTIDADES'!C4858,'PROPUESTA ECONOMICA(Proponente)'!$C$379:$H$661,6,FALSE)</f>
        <v>Und</v>
      </c>
      <c r="K4858" s="11" t="s">
        <v>401</v>
      </c>
      <c r="L4858" s="643">
        <f>SUM(L4859:L4867)</f>
        <v>20</v>
      </c>
    </row>
    <row r="4859" spans="2:12" ht="15">
      <c r="B4859" s="644"/>
      <c r="C4859" s="16"/>
      <c r="D4859" s="15"/>
      <c r="E4859" s="15"/>
      <c r="F4859" s="15"/>
      <c r="G4859" s="15"/>
      <c r="H4859" s="15"/>
      <c r="I4859" s="15"/>
      <c r="J4859" s="15"/>
      <c r="K4859" s="17"/>
      <c r="L4859" s="645"/>
    </row>
    <row r="4860" spans="2:12" ht="47.25">
      <c r="B4860" s="646" t="s">
        <v>402</v>
      </c>
      <c r="C4860" s="18" t="s">
        <v>403</v>
      </c>
      <c r="D4860" s="18" t="s">
        <v>404</v>
      </c>
      <c r="E4860" s="18" t="s">
        <v>405</v>
      </c>
      <c r="F4860" s="18" t="s">
        <v>406</v>
      </c>
      <c r="G4860" s="18" t="s">
        <v>407</v>
      </c>
      <c r="H4860" s="5" t="s">
        <v>408</v>
      </c>
      <c r="I4860" s="18" t="s">
        <v>409</v>
      </c>
      <c r="J4860" s="5" t="s">
        <v>410</v>
      </c>
      <c r="K4860" s="5" t="s">
        <v>411</v>
      </c>
      <c r="L4860" s="647" t="s">
        <v>412</v>
      </c>
    </row>
    <row r="4861" spans="2:12" ht="15">
      <c r="B4861" s="648" t="s">
        <v>590</v>
      </c>
      <c r="C4861" s="19"/>
      <c r="D4861" s="19"/>
      <c r="E4861" s="19"/>
      <c r="F4861" s="19"/>
      <c r="G4861" s="20"/>
      <c r="H4861" s="68"/>
      <c r="I4861" s="3">
        <v>2</v>
      </c>
      <c r="J4861" s="3">
        <v>2</v>
      </c>
      <c r="K4861" s="17"/>
      <c r="L4861" s="649">
        <f>PRODUCT(C4861:K4861)</f>
        <v>4</v>
      </c>
    </row>
    <row r="4862" spans="2:12" ht="15">
      <c r="B4862" s="648" t="s">
        <v>541</v>
      </c>
      <c r="C4862" s="20"/>
      <c r="D4862" s="19"/>
      <c r="E4862" s="19"/>
      <c r="F4862" s="19"/>
      <c r="G4862" s="20"/>
      <c r="H4862" s="68"/>
      <c r="I4862" s="3">
        <v>2</v>
      </c>
      <c r="J4862" s="3">
        <v>2</v>
      </c>
      <c r="K4862" s="17"/>
      <c r="L4862" s="649">
        <f t="shared" ref="L4862:L4867" si="365">PRODUCT(C4862:K4862)</f>
        <v>4</v>
      </c>
    </row>
    <row r="4863" spans="2:12" ht="15">
      <c r="B4863" s="650" t="s">
        <v>438</v>
      </c>
      <c r="C4863" s="20"/>
      <c r="D4863" s="20"/>
      <c r="E4863" s="20"/>
      <c r="F4863" s="20"/>
      <c r="G4863" s="20"/>
      <c r="H4863" s="19"/>
      <c r="I4863" s="47"/>
      <c r="J4863" s="47">
        <v>1</v>
      </c>
      <c r="K4863" s="17"/>
      <c r="L4863" s="649">
        <f t="shared" si="365"/>
        <v>1</v>
      </c>
    </row>
    <row r="4864" spans="2:12" ht="15">
      <c r="B4864" s="650" t="s">
        <v>464</v>
      </c>
      <c r="C4864" s="20"/>
      <c r="D4864" s="20"/>
      <c r="E4864" s="20"/>
      <c r="F4864" s="20"/>
      <c r="G4864" s="20"/>
      <c r="H4864" s="19"/>
      <c r="I4864" s="47"/>
      <c r="J4864" s="47">
        <v>2</v>
      </c>
      <c r="K4864" s="17"/>
      <c r="L4864" s="649">
        <f t="shared" si="365"/>
        <v>2</v>
      </c>
    </row>
    <row r="4865" spans="2:12" ht="15">
      <c r="B4865" s="650" t="s">
        <v>853</v>
      </c>
      <c r="C4865" s="20"/>
      <c r="D4865" s="20"/>
      <c r="E4865" s="20"/>
      <c r="F4865" s="20"/>
      <c r="G4865" s="20"/>
      <c r="H4865" s="19"/>
      <c r="I4865" s="47">
        <v>1</v>
      </c>
      <c r="J4865" s="47">
        <v>1</v>
      </c>
      <c r="K4865" s="17"/>
      <c r="L4865" s="649">
        <f t="shared" si="365"/>
        <v>1</v>
      </c>
    </row>
    <row r="4866" spans="2:12" ht="15">
      <c r="B4866" s="650" t="s">
        <v>823</v>
      </c>
      <c r="C4866" s="39"/>
      <c r="D4866" s="39"/>
      <c r="E4866" s="39"/>
      <c r="F4866" s="39"/>
      <c r="G4866" s="39"/>
      <c r="H4866" s="39"/>
      <c r="I4866" s="195">
        <v>2</v>
      </c>
      <c r="J4866" s="195">
        <v>2</v>
      </c>
      <c r="K4866" s="17"/>
      <c r="L4866" s="649">
        <f t="shared" si="365"/>
        <v>4</v>
      </c>
    </row>
    <row r="4867" spans="2:12" ht="15.75">
      <c r="B4867" s="650" t="s">
        <v>854</v>
      </c>
      <c r="C4867" s="194"/>
      <c r="D4867" s="194"/>
      <c r="E4867" s="194"/>
      <c r="F4867" s="194"/>
      <c r="G4867" s="194"/>
      <c r="H4867" s="194"/>
      <c r="I4867" s="195">
        <v>2</v>
      </c>
      <c r="J4867" s="196">
        <v>2</v>
      </c>
      <c r="K4867" s="194"/>
      <c r="L4867" s="649">
        <f t="shared" si="365"/>
        <v>4</v>
      </c>
    </row>
    <row r="4868" spans="2:12">
      <c r="B4868" s="651"/>
      <c r="L4868" s="652"/>
    </row>
    <row r="4869" spans="2:12" ht="15.6" customHeight="1">
      <c r="B4869" s="638" t="s">
        <v>398</v>
      </c>
      <c r="C4869" s="8">
        <v>11</v>
      </c>
      <c r="D4869" s="1008" t="s">
        <v>1034</v>
      </c>
      <c r="E4869" s="1009"/>
      <c r="F4869" s="1009"/>
      <c r="G4869" s="1009"/>
      <c r="H4869" s="1009"/>
      <c r="I4869" s="1009"/>
      <c r="J4869" s="1009"/>
      <c r="K4869" s="1009"/>
      <c r="L4869" s="1010"/>
    </row>
    <row r="4870" spans="2:12" ht="15">
      <c r="B4870" s="1005"/>
      <c r="C4870" s="1006"/>
      <c r="D4870" s="1006"/>
      <c r="E4870" s="1006"/>
      <c r="F4870" s="1006"/>
      <c r="G4870" s="1006"/>
      <c r="H4870" s="1006"/>
      <c r="I4870" s="1006"/>
      <c r="J4870" s="1006"/>
      <c r="K4870" s="1006"/>
      <c r="L4870" s="1007"/>
    </row>
    <row r="4871" spans="2:12" ht="15.75">
      <c r="B4871" s="642" t="s">
        <v>399</v>
      </c>
      <c r="C4871" s="25">
        <f>+'PROPUESTA ECONOMICA(Proponente)'!C558</f>
        <v>11.7</v>
      </c>
      <c r="D4871" s="12" t="str">
        <f>+VLOOKUP('MEMORIAS DE CANTIDADES'!C4871,'PROPUESTA ECONOMICA(Proponente)'!$C$379:$H$661,5,FALSE)</f>
        <v>Porta papel en acero inoxidable</v>
      </c>
      <c r="E4871" s="13"/>
      <c r="F4871" s="12"/>
      <c r="G4871" s="12"/>
      <c r="H4871" s="12"/>
      <c r="I4871" s="11" t="s">
        <v>400</v>
      </c>
      <c r="J4871" s="12" t="str">
        <f>+VLOOKUP('MEMORIAS DE CANTIDADES'!C4871,'PROPUESTA ECONOMICA(Proponente)'!$C$379:$H$661,6,FALSE)</f>
        <v>Und</v>
      </c>
      <c r="K4871" s="11" t="s">
        <v>401</v>
      </c>
      <c r="L4871" s="643">
        <f>SUM(L4872:L4881)</f>
        <v>57</v>
      </c>
    </row>
    <row r="4872" spans="2:12" ht="15">
      <c r="B4872" s="644"/>
      <c r="C4872" s="16"/>
      <c r="D4872" s="15"/>
      <c r="E4872" s="15"/>
      <c r="F4872" s="15"/>
      <c r="G4872" s="15"/>
      <c r="H4872" s="15"/>
      <c r="I4872" s="15"/>
      <c r="J4872" s="15"/>
      <c r="K4872" s="17"/>
      <c r="L4872" s="645"/>
    </row>
    <row r="4873" spans="2:12" ht="47.25">
      <c r="B4873" s="646" t="s">
        <v>402</v>
      </c>
      <c r="C4873" s="18" t="s">
        <v>403</v>
      </c>
      <c r="D4873" s="18" t="s">
        <v>404</v>
      </c>
      <c r="E4873" s="18" t="s">
        <v>405</v>
      </c>
      <c r="F4873" s="18" t="s">
        <v>406</v>
      </c>
      <c r="G4873" s="18" t="s">
        <v>407</v>
      </c>
      <c r="H4873" s="5" t="s">
        <v>408</v>
      </c>
      <c r="I4873" s="18" t="s">
        <v>409</v>
      </c>
      <c r="J4873" s="5" t="s">
        <v>410</v>
      </c>
      <c r="K4873" s="5" t="s">
        <v>411</v>
      </c>
      <c r="L4873" s="647" t="s">
        <v>412</v>
      </c>
    </row>
    <row r="4874" spans="2:12" ht="15">
      <c r="B4874" s="648" t="s">
        <v>590</v>
      </c>
      <c r="C4874" s="19"/>
      <c r="D4874" s="19"/>
      <c r="E4874" s="19"/>
      <c r="F4874" s="19"/>
      <c r="G4874" s="20"/>
      <c r="H4874" s="68"/>
      <c r="I4874" s="2">
        <v>2</v>
      </c>
      <c r="J4874" s="3">
        <v>8</v>
      </c>
      <c r="K4874" s="17"/>
      <c r="L4874" s="649">
        <f>PRODUCT(C4874:K4874)</f>
        <v>16</v>
      </c>
    </row>
    <row r="4875" spans="2:12" ht="15">
      <c r="B4875" s="751" t="s">
        <v>541</v>
      </c>
      <c r="C4875" s="20"/>
      <c r="D4875" s="19"/>
      <c r="E4875" s="19"/>
      <c r="F4875" s="19"/>
      <c r="G4875" s="20"/>
      <c r="H4875" s="68"/>
      <c r="I4875" s="2">
        <v>2</v>
      </c>
      <c r="J4875" s="47">
        <v>8</v>
      </c>
      <c r="K4875" s="17"/>
      <c r="L4875" s="649">
        <f t="shared" ref="L4875:L4878" si="366">PRODUCT(C4875:K4875)</f>
        <v>16</v>
      </c>
    </row>
    <row r="4876" spans="2:12" ht="15">
      <c r="B4876" s="650" t="s">
        <v>853</v>
      </c>
      <c r="C4876" s="20"/>
      <c r="D4876" s="19"/>
      <c r="E4876" s="19"/>
      <c r="F4876" s="19"/>
      <c r="G4876" s="20"/>
      <c r="H4876" s="68"/>
      <c r="I4876" s="2">
        <v>2</v>
      </c>
      <c r="J4876" s="47">
        <v>2</v>
      </c>
      <c r="K4876" s="17"/>
      <c r="L4876" s="649">
        <f t="shared" si="366"/>
        <v>4</v>
      </c>
    </row>
    <row r="4877" spans="2:12" ht="15">
      <c r="B4877" s="650" t="s">
        <v>823</v>
      </c>
      <c r="C4877" s="20"/>
      <c r="D4877" s="19"/>
      <c r="E4877" s="19"/>
      <c r="F4877" s="19"/>
      <c r="G4877" s="20"/>
      <c r="H4877" s="68"/>
      <c r="I4877" s="2">
        <v>4</v>
      </c>
      <c r="J4877" s="47">
        <v>2</v>
      </c>
      <c r="K4877" s="17"/>
      <c r="L4877" s="649">
        <f t="shared" si="366"/>
        <v>8</v>
      </c>
    </row>
    <row r="4878" spans="2:12" ht="15">
      <c r="B4878" s="650" t="s">
        <v>854</v>
      </c>
      <c r="C4878" s="20"/>
      <c r="D4878" s="20"/>
      <c r="E4878" s="20"/>
      <c r="F4878" s="20"/>
      <c r="G4878" s="20"/>
      <c r="H4878" s="20"/>
      <c r="I4878" s="23">
        <v>4</v>
      </c>
      <c r="J4878" s="47">
        <v>2</v>
      </c>
      <c r="K4878" s="17"/>
      <c r="L4878" s="649">
        <f t="shared" si="366"/>
        <v>8</v>
      </c>
    </row>
    <row r="4879" spans="2:12" ht="15">
      <c r="B4879" s="650" t="s">
        <v>438</v>
      </c>
      <c r="C4879" s="20"/>
      <c r="D4879" s="20"/>
      <c r="E4879" s="20"/>
      <c r="F4879" s="20"/>
      <c r="G4879" s="20"/>
      <c r="H4879" s="19"/>
      <c r="I4879" s="23"/>
      <c r="J4879" s="47">
        <v>2</v>
      </c>
      <c r="K4879" s="17"/>
      <c r="L4879" s="649">
        <f>PRODUCT(C4879:K4879)</f>
        <v>2</v>
      </c>
    </row>
    <row r="4880" spans="2:12" ht="15">
      <c r="B4880" s="650" t="s">
        <v>464</v>
      </c>
      <c r="C4880" s="20"/>
      <c r="D4880" s="20"/>
      <c r="E4880" s="20"/>
      <c r="F4880" s="20"/>
      <c r="G4880" s="20"/>
      <c r="H4880" s="19"/>
      <c r="I4880" s="23"/>
      <c r="J4880" s="47">
        <v>3</v>
      </c>
      <c r="K4880" s="17"/>
      <c r="L4880" s="649">
        <f t="shared" ref="L4880" si="367">PRODUCT(C4880:K4880)</f>
        <v>3</v>
      </c>
    </row>
    <row r="4881" spans="2:12" ht="15.75">
      <c r="B4881" s="981" t="s">
        <v>414</v>
      </c>
      <c r="C4881" s="982"/>
      <c r="D4881" s="982"/>
      <c r="E4881" s="982"/>
      <c r="F4881" s="982"/>
      <c r="G4881" s="982"/>
      <c r="H4881" s="982"/>
      <c r="I4881" s="982"/>
      <c r="J4881" s="982"/>
      <c r="K4881" s="982"/>
      <c r="L4881" s="983"/>
    </row>
    <row r="4882" spans="2:12">
      <c r="B4882" s="651"/>
      <c r="L4882" s="652"/>
    </row>
    <row r="4883" spans="2:12" ht="15.6" customHeight="1">
      <c r="B4883" s="638" t="s">
        <v>398</v>
      </c>
      <c r="C4883" s="8">
        <v>11</v>
      </c>
      <c r="D4883" s="1008" t="s">
        <v>1034</v>
      </c>
      <c r="E4883" s="1009"/>
      <c r="F4883" s="1009"/>
      <c r="G4883" s="1009"/>
      <c r="H4883" s="1009"/>
      <c r="I4883" s="1009"/>
      <c r="J4883" s="1009"/>
      <c r="K4883" s="1009"/>
      <c r="L4883" s="1010"/>
    </row>
    <row r="4884" spans="2:12" ht="15">
      <c r="B4884" s="1005"/>
      <c r="C4884" s="1006"/>
      <c r="D4884" s="1006"/>
      <c r="E4884" s="1006"/>
      <c r="F4884" s="1006"/>
      <c r="G4884" s="1006"/>
      <c r="H4884" s="1006"/>
      <c r="I4884" s="1006"/>
      <c r="J4884" s="1006"/>
      <c r="K4884" s="1006"/>
      <c r="L4884" s="1007"/>
    </row>
    <row r="4885" spans="2:12" ht="31.5">
      <c r="B4885" s="642" t="s">
        <v>399</v>
      </c>
      <c r="C4885" s="25">
        <f>+'PROPUESTA ECONOMICA(Proponente)'!C559</f>
        <v>11.8</v>
      </c>
      <c r="D4885" s="12" t="str">
        <f>+VLOOKUP('MEMORIAS DE CANTIDADES'!C4885,'PROPUESTA ECONOMICA(Proponente)'!$C$379:$H$661,5,FALSE)</f>
        <v>Juego de ducha cerámico nacional blanco tipo corona o similar</v>
      </c>
      <c r="E4885" s="13"/>
      <c r="F4885" s="12"/>
      <c r="G4885" s="12"/>
      <c r="H4885" s="12"/>
      <c r="I4885" s="11" t="s">
        <v>400</v>
      </c>
      <c r="J4885" s="12" t="str">
        <f>+VLOOKUP('MEMORIAS DE CANTIDADES'!C4885,'PROPUESTA ECONOMICA(Proponente)'!$C$379:$H$661,6,FALSE)</f>
        <v>Und</v>
      </c>
      <c r="K4885" s="11" t="s">
        <v>401</v>
      </c>
      <c r="L4885" s="643">
        <f>SUM(L4886:L4893)</f>
        <v>16</v>
      </c>
    </row>
    <row r="4886" spans="2:12" ht="15">
      <c r="B4886" s="644"/>
      <c r="C4886" s="16"/>
      <c r="D4886" s="15"/>
      <c r="E4886" s="15"/>
      <c r="F4886" s="15"/>
      <c r="G4886" s="15"/>
      <c r="H4886" s="15"/>
      <c r="I4886" s="15"/>
      <c r="J4886" s="15"/>
      <c r="K4886" s="17"/>
      <c r="L4886" s="645"/>
    </row>
    <row r="4887" spans="2:12" ht="47.25">
      <c r="B4887" s="646" t="s">
        <v>402</v>
      </c>
      <c r="C4887" s="18" t="s">
        <v>403</v>
      </c>
      <c r="D4887" s="18" t="s">
        <v>404</v>
      </c>
      <c r="E4887" s="18" t="s">
        <v>405</v>
      </c>
      <c r="F4887" s="18" t="s">
        <v>406</v>
      </c>
      <c r="G4887" s="18" t="s">
        <v>407</v>
      </c>
      <c r="H4887" s="5" t="s">
        <v>408</v>
      </c>
      <c r="I4887" s="18" t="s">
        <v>409</v>
      </c>
      <c r="J4887" s="5" t="s">
        <v>410</v>
      </c>
      <c r="K4887" s="5" t="s">
        <v>411</v>
      </c>
      <c r="L4887" s="647" t="s">
        <v>412</v>
      </c>
    </row>
    <row r="4888" spans="2:12" ht="15">
      <c r="B4888" s="648" t="s">
        <v>590</v>
      </c>
      <c r="C4888" s="19"/>
      <c r="D4888" s="19"/>
      <c r="E4888" s="19"/>
      <c r="F4888" s="19"/>
      <c r="G4888" s="20"/>
      <c r="H4888" s="68"/>
      <c r="I4888" s="17"/>
      <c r="J4888" s="28"/>
      <c r="K4888" s="17"/>
      <c r="L4888" s="649">
        <f>PRODUCT(C4888:K4888)</f>
        <v>0</v>
      </c>
    </row>
    <row r="4889" spans="2:12" ht="15">
      <c r="B4889" s="648" t="s">
        <v>541</v>
      </c>
      <c r="C4889" s="20"/>
      <c r="D4889" s="19"/>
      <c r="E4889" s="19"/>
      <c r="F4889" s="19"/>
      <c r="G4889" s="20"/>
      <c r="H4889" s="68"/>
      <c r="I4889" s="17"/>
      <c r="J4889" s="19"/>
      <c r="K4889" s="17"/>
      <c r="L4889" s="649">
        <f t="shared" ref="L4889:L4892" si="368">PRODUCT(C4889:K4889)</f>
        <v>0</v>
      </c>
    </row>
    <row r="4890" spans="2:12" ht="15">
      <c r="B4890" s="650" t="s">
        <v>823</v>
      </c>
      <c r="C4890" s="176"/>
      <c r="D4890" s="176"/>
      <c r="E4890" s="176"/>
      <c r="F4890" s="176"/>
      <c r="G4890" s="176"/>
      <c r="H4890" s="176"/>
      <c r="I4890" s="176">
        <v>2</v>
      </c>
      <c r="J4890" s="175">
        <v>3</v>
      </c>
      <c r="K4890" s="167"/>
      <c r="L4890" s="677">
        <f t="shared" si="368"/>
        <v>6</v>
      </c>
    </row>
    <row r="4891" spans="2:12" ht="15">
      <c r="B4891" s="650" t="s">
        <v>854</v>
      </c>
      <c r="C4891" s="176"/>
      <c r="D4891" s="176"/>
      <c r="E4891" s="176"/>
      <c r="F4891" s="176"/>
      <c r="G4891" s="176"/>
      <c r="H4891" s="175"/>
      <c r="I4891" s="176">
        <v>2</v>
      </c>
      <c r="J4891" s="175">
        <v>3</v>
      </c>
      <c r="K4891" s="167"/>
      <c r="L4891" s="677">
        <f t="shared" si="368"/>
        <v>6</v>
      </c>
    </row>
    <row r="4892" spans="2:12" ht="15">
      <c r="B4892" s="650" t="s">
        <v>853</v>
      </c>
      <c r="C4892" s="176"/>
      <c r="D4892" s="176"/>
      <c r="E4892" s="176"/>
      <c r="F4892" s="176"/>
      <c r="G4892" s="176"/>
      <c r="H4892" s="175"/>
      <c r="I4892" s="176">
        <v>2</v>
      </c>
      <c r="J4892" s="175">
        <v>2</v>
      </c>
      <c r="K4892" s="167"/>
      <c r="L4892" s="677">
        <f t="shared" si="368"/>
        <v>4</v>
      </c>
    </row>
    <row r="4893" spans="2:12" ht="15.75">
      <c r="B4893" s="981" t="s">
        <v>414</v>
      </c>
      <c r="C4893" s="982"/>
      <c r="D4893" s="982"/>
      <c r="E4893" s="982"/>
      <c r="F4893" s="982"/>
      <c r="G4893" s="982"/>
      <c r="H4893" s="982"/>
      <c r="I4893" s="982"/>
      <c r="J4893" s="982"/>
      <c r="K4893" s="982"/>
      <c r="L4893" s="983"/>
    </row>
    <row r="4894" spans="2:12">
      <c r="B4894" s="651"/>
      <c r="L4894" s="652"/>
    </row>
    <row r="4895" spans="2:12" ht="15.6" customHeight="1">
      <c r="B4895" s="638" t="s">
        <v>398</v>
      </c>
      <c r="C4895" s="8">
        <v>11</v>
      </c>
      <c r="D4895" s="1008" t="s">
        <v>1034</v>
      </c>
      <c r="E4895" s="1009"/>
      <c r="F4895" s="1009"/>
      <c r="G4895" s="1009"/>
      <c r="H4895" s="1009"/>
      <c r="I4895" s="1009"/>
      <c r="J4895" s="1009"/>
      <c r="K4895" s="1009"/>
      <c r="L4895" s="1010"/>
    </row>
    <row r="4896" spans="2:12" ht="15">
      <c r="B4896" s="1005"/>
      <c r="C4896" s="1006"/>
      <c r="D4896" s="1006"/>
      <c r="E4896" s="1006"/>
      <c r="F4896" s="1006"/>
      <c r="G4896" s="1006"/>
      <c r="H4896" s="1006"/>
      <c r="I4896" s="1006"/>
      <c r="J4896" s="1006"/>
      <c r="K4896" s="1006"/>
      <c r="L4896" s="1007"/>
    </row>
    <row r="4897" spans="2:12" ht="15.75">
      <c r="B4897" s="642" t="s">
        <v>399</v>
      </c>
      <c r="C4897" s="25">
        <f>+'PROPUESTA ECONOMICA(Proponente)'!C560</f>
        <v>11.9</v>
      </c>
      <c r="D4897" s="12" t="str">
        <f>+VLOOKUP('MEMORIAS DE CANTIDADES'!C4897,'PROPUESTA ECONOMICA(Proponente)'!$C$379:$H$661,5,FALSE)</f>
        <v xml:space="preserve">Kit de para ducha </v>
      </c>
      <c r="E4897" s="13"/>
      <c r="F4897" s="12"/>
      <c r="G4897" s="12"/>
      <c r="H4897" s="12"/>
      <c r="I4897" s="11" t="s">
        <v>400</v>
      </c>
      <c r="J4897" s="12" t="str">
        <f>+VLOOKUP('MEMORIAS DE CANTIDADES'!C4897,'PROPUESTA ECONOMICA(Proponente)'!$C$379:$H$661,6,FALSE)</f>
        <v>Und</v>
      </c>
      <c r="K4897" s="11" t="s">
        <v>401</v>
      </c>
      <c r="L4897" s="643">
        <f>SUM(L4898:L4905)</f>
        <v>16</v>
      </c>
    </row>
    <row r="4898" spans="2:12" ht="15">
      <c r="B4898" s="644"/>
      <c r="C4898" s="16"/>
      <c r="D4898" s="15"/>
      <c r="E4898" s="15"/>
      <c r="F4898" s="15"/>
      <c r="G4898" s="15"/>
      <c r="H4898" s="15"/>
      <c r="I4898" s="15"/>
      <c r="J4898" s="15"/>
      <c r="K4898" s="17"/>
      <c r="L4898" s="645"/>
    </row>
    <row r="4899" spans="2:12" ht="47.25">
      <c r="B4899" s="646" t="s">
        <v>402</v>
      </c>
      <c r="C4899" s="18" t="s">
        <v>403</v>
      </c>
      <c r="D4899" s="18" t="s">
        <v>404</v>
      </c>
      <c r="E4899" s="18" t="s">
        <v>405</v>
      </c>
      <c r="F4899" s="18" t="s">
        <v>406</v>
      </c>
      <c r="G4899" s="18" t="s">
        <v>407</v>
      </c>
      <c r="H4899" s="5" t="s">
        <v>408</v>
      </c>
      <c r="I4899" s="18" t="s">
        <v>409</v>
      </c>
      <c r="J4899" s="5" t="s">
        <v>410</v>
      </c>
      <c r="K4899" s="5" t="s">
        <v>411</v>
      </c>
      <c r="L4899" s="647" t="s">
        <v>412</v>
      </c>
    </row>
    <row r="4900" spans="2:12" ht="15">
      <c r="B4900" s="648" t="s">
        <v>590</v>
      </c>
      <c r="C4900" s="19"/>
      <c r="D4900" s="19"/>
      <c r="E4900" s="19"/>
      <c r="F4900" s="19"/>
      <c r="G4900" s="20"/>
      <c r="H4900" s="68"/>
      <c r="I4900" s="17"/>
      <c r="J4900" s="28"/>
      <c r="K4900" s="17"/>
      <c r="L4900" s="649">
        <f>PRODUCT(C4900:K4900)</f>
        <v>0</v>
      </c>
    </row>
    <row r="4901" spans="2:12" ht="15">
      <c r="B4901" s="751" t="s">
        <v>541</v>
      </c>
      <c r="C4901" s="20"/>
      <c r="D4901" s="19"/>
      <c r="E4901" s="19"/>
      <c r="F4901" s="19"/>
      <c r="G4901" s="20"/>
      <c r="H4901" s="68"/>
      <c r="I4901" s="17"/>
      <c r="J4901" s="19"/>
      <c r="K4901" s="17"/>
      <c r="L4901" s="649">
        <f t="shared" ref="L4901:L4904" si="369">PRODUCT(C4901:K4901)</f>
        <v>0</v>
      </c>
    </row>
    <row r="4902" spans="2:12" ht="15">
      <c r="B4902" s="650" t="s">
        <v>823</v>
      </c>
      <c r="C4902" s="176"/>
      <c r="D4902" s="176"/>
      <c r="E4902" s="176"/>
      <c r="F4902" s="176"/>
      <c r="G4902" s="176"/>
      <c r="H4902" s="176"/>
      <c r="I4902" s="176">
        <v>2</v>
      </c>
      <c r="J4902" s="175">
        <v>3</v>
      </c>
      <c r="K4902" s="167"/>
      <c r="L4902" s="677">
        <f t="shared" si="369"/>
        <v>6</v>
      </c>
    </row>
    <row r="4903" spans="2:12" ht="15">
      <c r="B4903" s="650" t="s">
        <v>854</v>
      </c>
      <c r="C4903" s="176"/>
      <c r="D4903" s="176"/>
      <c r="E4903" s="176"/>
      <c r="F4903" s="176"/>
      <c r="G4903" s="176"/>
      <c r="H4903" s="175"/>
      <c r="I4903" s="176">
        <v>2</v>
      </c>
      <c r="J4903" s="175">
        <v>3</v>
      </c>
      <c r="K4903" s="167"/>
      <c r="L4903" s="677">
        <f t="shared" si="369"/>
        <v>6</v>
      </c>
    </row>
    <row r="4904" spans="2:12" ht="15">
      <c r="B4904" s="650" t="s">
        <v>853</v>
      </c>
      <c r="C4904" s="176"/>
      <c r="D4904" s="176"/>
      <c r="E4904" s="176"/>
      <c r="F4904" s="176"/>
      <c r="G4904" s="176"/>
      <c r="H4904" s="175"/>
      <c r="I4904" s="176">
        <v>2</v>
      </c>
      <c r="J4904" s="175">
        <v>2</v>
      </c>
      <c r="K4904" s="167"/>
      <c r="L4904" s="677">
        <f t="shared" si="369"/>
        <v>4</v>
      </c>
    </row>
    <row r="4905" spans="2:12" ht="15.75">
      <c r="B4905" s="981"/>
      <c r="C4905" s="982"/>
      <c r="D4905" s="982"/>
      <c r="E4905" s="982"/>
      <c r="F4905" s="982"/>
      <c r="G4905" s="982"/>
      <c r="H4905" s="982"/>
      <c r="I4905" s="982"/>
      <c r="J4905" s="982"/>
      <c r="K4905" s="982"/>
      <c r="L4905" s="983"/>
    </row>
    <row r="4906" spans="2:12">
      <c r="B4906" s="651"/>
      <c r="L4906" s="652"/>
    </row>
    <row r="4907" spans="2:12" ht="15.6" customHeight="1">
      <c r="B4907" s="638" t="s">
        <v>398</v>
      </c>
      <c r="C4907" s="8">
        <v>11</v>
      </c>
      <c r="D4907" s="1008" t="s">
        <v>1034</v>
      </c>
      <c r="E4907" s="1009"/>
      <c r="F4907" s="1009"/>
      <c r="G4907" s="1009"/>
      <c r="H4907" s="1009"/>
      <c r="I4907" s="1009"/>
      <c r="J4907" s="1009"/>
      <c r="K4907" s="1009"/>
      <c r="L4907" s="1010"/>
    </row>
    <row r="4908" spans="2:12" ht="15">
      <c r="B4908" s="1005"/>
      <c r="C4908" s="1006"/>
      <c r="D4908" s="1006"/>
      <c r="E4908" s="1006"/>
      <c r="F4908" s="1006"/>
      <c r="G4908" s="1006"/>
      <c r="H4908" s="1006"/>
      <c r="I4908" s="1006"/>
      <c r="J4908" s="1006"/>
      <c r="K4908" s="1006"/>
      <c r="L4908" s="1007"/>
    </row>
    <row r="4909" spans="2:12" ht="31.5">
      <c r="B4909" s="642" t="s">
        <v>399</v>
      </c>
      <c r="C4909" s="8" t="str">
        <f>+'PROPUESTA ECONOMICA(Proponente)'!C561</f>
        <v>11.10</v>
      </c>
      <c r="D4909" s="12" t="str">
        <f>+VLOOKUP('MEMORIAS DE CANTIDADES'!C4909,'PROPUESTA ECONOMICA(Proponente)'!$C$379:$H$661,5,FALSE)</f>
        <v>Suministro de papelera en acero de pedal de 5 lts.</v>
      </c>
      <c r="E4909" s="13"/>
      <c r="F4909" s="12"/>
      <c r="G4909" s="12"/>
      <c r="H4909" s="12"/>
      <c r="I4909" s="11" t="s">
        <v>400</v>
      </c>
      <c r="J4909" s="12" t="str">
        <f>+VLOOKUP('MEMORIAS DE CANTIDADES'!C4909,'PROPUESTA ECONOMICA(Proponente)'!$C$379:$H$661,6,FALSE)</f>
        <v>Und</v>
      </c>
      <c r="K4909" s="11" t="s">
        <v>401</v>
      </c>
      <c r="L4909" s="643">
        <f>SUM(L4910:L4919)</f>
        <v>67</v>
      </c>
    </row>
    <row r="4910" spans="2:12" ht="15">
      <c r="B4910" s="644"/>
      <c r="C4910" s="16"/>
      <c r="D4910" s="15"/>
      <c r="E4910" s="15"/>
      <c r="F4910" s="15"/>
      <c r="G4910" s="15"/>
      <c r="H4910" s="15"/>
      <c r="I4910" s="15"/>
      <c r="J4910" s="15"/>
      <c r="K4910" s="17"/>
      <c r="L4910" s="645"/>
    </row>
    <row r="4911" spans="2:12" ht="47.25">
      <c r="B4911" s="646" t="s">
        <v>402</v>
      </c>
      <c r="C4911" s="18" t="s">
        <v>403</v>
      </c>
      <c r="D4911" s="18" t="s">
        <v>404</v>
      </c>
      <c r="E4911" s="18" t="s">
        <v>405</v>
      </c>
      <c r="F4911" s="18" t="s">
        <v>406</v>
      </c>
      <c r="G4911" s="18" t="s">
        <v>407</v>
      </c>
      <c r="H4911" s="5" t="s">
        <v>408</v>
      </c>
      <c r="I4911" s="18" t="s">
        <v>409</v>
      </c>
      <c r="J4911" s="5" t="s">
        <v>410</v>
      </c>
      <c r="K4911" s="5" t="s">
        <v>411</v>
      </c>
      <c r="L4911" s="647" t="s">
        <v>412</v>
      </c>
    </row>
    <row r="4912" spans="2:12" ht="15">
      <c r="B4912" s="648" t="s">
        <v>590</v>
      </c>
      <c r="C4912" s="19"/>
      <c r="D4912" s="19"/>
      <c r="E4912" s="19"/>
      <c r="F4912" s="19"/>
      <c r="G4912" s="20"/>
      <c r="H4912" s="68"/>
      <c r="I4912" s="17">
        <v>2</v>
      </c>
      <c r="J4912" s="123">
        <v>9</v>
      </c>
      <c r="K4912" s="17"/>
      <c r="L4912" s="649">
        <f>PRODUCT(C4912:K4912)</f>
        <v>18</v>
      </c>
    </row>
    <row r="4913" spans="2:12" ht="15">
      <c r="B4913" s="648" t="s">
        <v>541</v>
      </c>
      <c r="C4913" s="20"/>
      <c r="D4913" s="19"/>
      <c r="E4913" s="19"/>
      <c r="F4913" s="19"/>
      <c r="G4913" s="20"/>
      <c r="H4913" s="68"/>
      <c r="I4913" s="17">
        <v>2</v>
      </c>
      <c r="J4913" s="19">
        <v>9</v>
      </c>
      <c r="K4913" s="17"/>
      <c r="L4913" s="649">
        <f t="shared" ref="L4913:L4918" si="370">PRODUCT(C4913:K4913)</f>
        <v>18</v>
      </c>
    </row>
    <row r="4914" spans="2:12" ht="15">
      <c r="B4914" s="650" t="s">
        <v>823</v>
      </c>
      <c r="C4914" s="20"/>
      <c r="D4914" s="20"/>
      <c r="E4914" s="20"/>
      <c r="F4914" s="20"/>
      <c r="G4914" s="20"/>
      <c r="H4914" s="20"/>
      <c r="I4914" s="20">
        <v>2</v>
      </c>
      <c r="J4914" s="19">
        <v>5</v>
      </c>
      <c r="K4914" s="17"/>
      <c r="L4914" s="649">
        <f t="shared" si="370"/>
        <v>10</v>
      </c>
    </row>
    <row r="4915" spans="2:12" ht="15">
      <c r="B4915" s="650" t="s">
        <v>854</v>
      </c>
      <c r="C4915" s="20"/>
      <c r="D4915" s="20"/>
      <c r="E4915" s="20"/>
      <c r="F4915" s="20"/>
      <c r="G4915" s="20"/>
      <c r="H4915" s="20"/>
      <c r="I4915" s="20">
        <v>2</v>
      </c>
      <c r="J4915" s="19">
        <v>5</v>
      </c>
      <c r="K4915" s="17"/>
      <c r="L4915" s="649">
        <f t="shared" si="370"/>
        <v>10</v>
      </c>
    </row>
    <row r="4916" spans="2:12" ht="15">
      <c r="B4916" s="650" t="s">
        <v>853</v>
      </c>
      <c r="C4916" s="20"/>
      <c r="D4916" s="20"/>
      <c r="E4916" s="20"/>
      <c r="F4916" s="20"/>
      <c r="G4916" s="20"/>
      <c r="H4916" s="20"/>
      <c r="I4916" s="20">
        <v>2</v>
      </c>
      <c r="J4916" s="19">
        <v>3</v>
      </c>
      <c r="K4916" s="17"/>
      <c r="L4916" s="649">
        <f t="shared" si="370"/>
        <v>6</v>
      </c>
    </row>
    <row r="4917" spans="2:12" ht="15">
      <c r="B4917" s="650" t="s">
        <v>438</v>
      </c>
      <c r="C4917" s="20"/>
      <c r="D4917" s="20"/>
      <c r="E4917" s="20"/>
      <c r="F4917" s="20"/>
      <c r="G4917" s="20"/>
      <c r="H4917" s="19"/>
      <c r="I4917" s="20"/>
      <c r="J4917" s="19">
        <v>2</v>
      </c>
      <c r="K4917" s="17"/>
      <c r="L4917" s="649">
        <f t="shared" si="370"/>
        <v>2</v>
      </c>
    </row>
    <row r="4918" spans="2:12" ht="15">
      <c r="B4918" s="650" t="s">
        <v>464</v>
      </c>
      <c r="C4918" s="20"/>
      <c r="D4918" s="20"/>
      <c r="E4918" s="20"/>
      <c r="F4918" s="20"/>
      <c r="G4918" s="20"/>
      <c r="H4918" s="19"/>
      <c r="I4918" s="20"/>
      <c r="J4918" s="19">
        <v>3</v>
      </c>
      <c r="K4918" s="17"/>
      <c r="L4918" s="649">
        <f t="shared" si="370"/>
        <v>3</v>
      </c>
    </row>
    <row r="4919" spans="2:12" ht="15.75">
      <c r="B4919" s="981"/>
      <c r="C4919" s="982"/>
      <c r="D4919" s="982"/>
      <c r="E4919" s="982"/>
      <c r="F4919" s="982"/>
      <c r="G4919" s="982"/>
      <c r="H4919" s="982"/>
      <c r="I4919" s="982"/>
      <c r="J4919" s="982"/>
      <c r="K4919" s="982"/>
      <c r="L4919" s="983"/>
    </row>
    <row r="4920" spans="2:12">
      <c r="B4920" s="651"/>
      <c r="L4920" s="652"/>
    </row>
    <row r="4921" spans="2:12" ht="15.6" customHeight="1">
      <c r="B4921" s="638" t="s">
        <v>398</v>
      </c>
      <c r="C4921" s="8">
        <v>11</v>
      </c>
      <c r="D4921" s="1008" t="s">
        <v>1034</v>
      </c>
      <c r="E4921" s="1009"/>
      <c r="F4921" s="1009"/>
      <c r="G4921" s="1009"/>
      <c r="H4921" s="1009"/>
      <c r="I4921" s="1009"/>
      <c r="J4921" s="1009"/>
      <c r="K4921" s="1009"/>
      <c r="L4921" s="1010"/>
    </row>
    <row r="4922" spans="2:12" ht="15">
      <c r="B4922" s="1005"/>
      <c r="C4922" s="1006"/>
      <c r="D4922" s="1006"/>
      <c r="E4922" s="1006"/>
      <c r="F4922" s="1006"/>
      <c r="G4922" s="1006"/>
      <c r="H4922" s="1006"/>
      <c r="I4922" s="1006"/>
      <c r="J4922" s="1006"/>
      <c r="K4922" s="1006"/>
      <c r="L4922" s="1007"/>
    </row>
    <row r="4923" spans="2:12" ht="31.5">
      <c r="B4923" s="642" t="s">
        <v>399</v>
      </c>
      <c r="C4923" s="8">
        <f>+'PROPUESTA ECONOMICA(Proponente)'!C562</f>
        <v>11.11</v>
      </c>
      <c r="D4923" s="12" t="str">
        <f>+VLOOKUP('MEMORIAS DE CANTIDADES'!C4923,'PROPUESTA ECONOMICA(Proponente)'!$C$379:$H$661,5,FALSE)</f>
        <v>Suministro e instalación de Juego de barras de apoyo para personas con movilidad reducida</v>
      </c>
      <c r="E4923" s="13"/>
      <c r="F4923" s="12"/>
      <c r="G4923" s="12"/>
      <c r="H4923" s="12"/>
      <c r="I4923" s="11" t="s">
        <v>400</v>
      </c>
      <c r="J4923" s="12" t="str">
        <f>+VLOOKUP('MEMORIAS DE CANTIDADES'!C4923,'PROPUESTA ECONOMICA(Proponente)'!$C$379:$H$661,6,FALSE)</f>
        <v>Und</v>
      </c>
      <c r="K4923" s="11" t="s">
        <v>401</v>
      </c>
      <c r="L4923" s="643">
        <f>SUM(L4924:L4931)</f>
        <v>4</v>
      </c>
    </row>
    <row r="4924" spans="2:12" ht="15">
      <c r="B4924" s="644"/>
      <c r="C4924" s="16"/>
      <c r="D4924" s="15"/>
      <c r="E4924" s="15"/>
      <c r="F4924" s="15"/>
      <c r="G4924" s="15"/>
      <c r="H4924" s="15"/>
      <c r="I4924" s="15"/>
      <c r="J4924" s="15"/>
      <c r="K4924" s="17"/>
      <c r="L4924" s="645"/>
    </row>
    <row r="4925" spans="2:12" ht="47.25">
      <c r="B4925" s="646" t="s">
        <v>402</v>
      </c>
      <c r="C4925" s="18" t="s">
        <v>403</v>
      </c>
      <c r="D4925" s="18" t="s">
        <v>404</v>
      </c>
      <c r="E4925" s="18" t="s">
        <v>405</v>
      </c>
      <c r="F4925" s="18" t="s">
        <v>406</v>
      </c>
      <c r="G4925" s="18" t="s">
        <v>407</v>
      </c>
      <c r="H4925" s="5" t="s">
        <v>408</v>
      </c>
      <c r="I4925" s="18" t="s">
        <v>409</v>
      </c>
      <c r="J4925" s="5" t="s">
        <v>410</v>
      </c>
      <c r="K4925" s="5" t="s">
        <v>411</v>
      </c>
      <c r="L4925" s="647" t="s">
        <v>412</v>
      </c>
    </row>
    <row r="4926" spans="2:12" ht="15">
      <c r="B4926" s="648" t="s">
        <v>590</v>
      </c>
      <c r="C4926" s="19"/>
      <c r="D4926" s="19"/>
      <c r="E4926" s="19"/>
      <c r="F4926" s="19"/>
      <c r="G4926" s="20"/>
      <c r="H4926" s="68"/>
      <c r="I4926" s="17">
        <v>2</v>
      </c>
      <c r="J4926" s="28">
        <v>1</v>
      </c>
      <c r="K4926" s="17"/>
      <c r="L4926" s="649">
        <f>PRODUCT(C4926:K4926)</f>
        <v>2</v>
      </c>
    </row>
    <row r="4927" spans="2:12" ht="15">
      <c r="B4927" s="648" t="s">
        <v>541</v>
      </c>
      <c r="C4927" s="20"/>
      <c r="D4927" s="19"/>
      <c r="E4927" s="19"/>
      <c r="F4927" s="19"/>
      <c r="G4927" s="20"/>
      <c r="H4927" s="68"/>
      <c r="I4927" s="17">
        <v>2</v>
      </c>
      <c r="J4927" s="69">
        <v>1</v>
      </c>
      <c r="K4927" s="17"/>
      <c r="L4927" s="649">
        <f t="shared" ref="L4927" si="371">PRODUCT(C4927:K4927)</f>
        <v>2</v>
      </c>
    </row>
    <row r="4928" spans="2:12" ht="15">
      <c r="B4928" s="650"/>
      <c r="C4928" s="20"/>
      <c r="D4928" s="20"/>
      <c r="E4928" s="20"/>
      <c r="F4928" s="20"/>
      <c r="G4928" s="20"/>
      <c r="H4928" s="20"/>
      <c r="I4928" s="20"/>
      <c r="J4928" s="69"/>
      <c r="K4928" s="17"/>
      <c r="L4928" s="649"/>
    </row>
    <row r="4929" spans="2:12" ht="15">
      <c r="B4929" s="650"/>
      <c r="C4929" s="20"/>
      <c r="D4929" s="20"/>
      <c r="E4929" s="20"/>
      <c r="F4929" s="20"/>
      <c r="G4929" s="20"/>
      <c r="H4929" s="19"/>
      <c r="I4929" s="20"/>
      <c r="J4929" s="19"/>
      <c r="K4929" s="17"/>
      <c r="L4929" s="649"/>
    </row>
    <row r="4930" spans="2:12" ht="15">
      <c r="B4930" s="650"/>
      <c r="C4930" s="20"/>
      <c r="D4930" s="20"/>
      <c r="E4930" s="20"/>
      <c r="F4930" s="20"/>
      <c r="G4930" s="20"/>
      <c r="H4930" s="19"/>
      <c r="I4930" s="20"/>
      <c r="J4930" s="19"/>
      <c r="K4930" s="17"/>
      <c r="L4930" s="649"/>
    </row>
    <row r="4931" spans="2:12" ht="39" customHeight="1">
      <c r="B4931" s="981"/>
      <c r="C4931" s="982"/>
      <c r="D4931" s="982"/>
      <c r="E4931" s="982"/>
      <c r="F4931" s="982"/>
      <c r="G4931" s="982"/>
      <c r="H4931" s="982"/>
      <c r="I4931" s="982"/>
      <c r="J4931" s="982"/>
      <c r="K4931" s="982"/>
      <c r="L4931" s="983"/>
    </row>
    <row r="4932" spans="2:12">
      <c r="B4932" s="651"/>
      <c r="L4932" s="652"/>
    </row>
    <row r="4933" spans="2:12" ht="15.6" customHeight="1">
      <c r="B4933" s="638" t="s">
        <v>398</v>
      </c>
      <c r="C4933" s="8">
        <v>11</v>
      </c>
      <c r="D4933" s="1008" t="s">
        <v>1034</v>
      </c>
      <c r="E4933" s="1009"/>
      <c r="F4933" s="1009"/>
      <c r="G4933" s="1009"/>
      <c r="H4933" s="1009"/>
      <c r="I4933" s="1009"/>
      <c r="J4933" s="1009"/>
      <c r="K4933" s="1009"/>
      <c r="L4933" s="1010"/>
    </row>
    <row r="4934" spans="2:12" ht="15">
      <c r="B4934" s="1005"/>
      <c r="C4934" s="1006"/>
      <c r="D4934" s="1006"/>
      <c r="E4934" s="1006"/>
      <c r="F4934" s="1006"/>
      <c r="G4934" s="1006"/>
      <c r="H4934" s="1006"/>
      <c r="I4934" s="1006"/>
      <c r="J4934" s="1006"/>
      <c r="K4934" s="1006"/>
      <c r="L4934" s="1007"/>
    </row>
    <row r="4935" spans="2:12" ht="63">
      <c r="B4935" s="642" t="s">
        <v>399</v>
      </c>
      <c r="C4935" s="8">
        <f>+'PROPUESTA ECONOMICA(Proponente)'!C563</f>
        <v>11.12</v>
      </c>
      <c r="D4935" s="12" t="str">
        <f>+VLOOKUP('MEMORIAS DE CANTIDADES'!C4935,'PROPUESTA ECONOMICA(Proponente)'!$C$379:$H$661,5,FALSE)</f>
        <v>Suministro e instalación de lavaplatos doble poceta en acero inoxidable de 120x50 cm,  incluye sifón mas canastilla y grifería con acople 1/2"</v>
      </c>
      <c r="E4935" s="13"/>
      <c r="F4935" s="12"/>
      <c r="G4935" s="12"/>
      <c r="H4935" s="12"/>
      <c r="I4935" s="11" t="s">
        <v>400</v>
      </c>
      <c r="J4935" s="12" t="str">
        <f>+VLOOKUP('MEMORIAS DE CANTIDADES'!C4935,'PROPUESTA ECONOMICA(Proponente)'!$C$379:$H$661,6,FALSE)</f>
        <v>Und</v>
      </c>
      <c r="K4935" s="11" t="s">
        <v>401</v>
      </c>
      <c r="L4935" s="643">
        <f>SUM(L4936:L4943)</f>
        <v>0</v>
      </c>
    </row>
    <row r="4936" spans="2:12" ht="15">
      <c r="B4936" s="644"/>
      <c r="C4936" s="16"/>
      <c r="D4936" s="15"/>
      <c r="E4936" s="15"/>
      <c r="F4936" s="15"/>
      <c r="G4936" s="15"/>
      <c r="H4936" s="15"/>
      <c r="I4936" s="15"/>
      <c r="J4936" s="15"/>
      <c r="K4936" s="17"/>
      <c r="L4936" s="645"/>
    </row>
    <row r="4937" spans="2:12" ht="47.25">
      <c r="B4937" s="646" t="s">
        <v>402</v>
      </c>
      <c r="C4937" s="18" t="s">
        <v>403</v>
      </c>
      <c r="D4937" s="18" t="s">
        <v>404</v>
      </c>
      <c r="E4937" s="18" t="s">
        <v>405</v>
      </c>
      <c r="F4937" s="18" t="s">
        <v>406</v>
      </c>
      <c r="G4937" s="18" t="s">
        <v>407</v>
      </c>
      <c r="H4937" s="5" t="s">
        <v>408</v>
      </c>
      <c r="I4937" s="18" t="s">
        <v>409</v>
      </c>
      <c r="J4937" s="5" t="s">
        <v>410</v>
      </c>
      <c r="K4937" s="5" t="s">
        <v>411</v>
      </c>
      <c r="L4937" s="647" t="s">
        <v>412</v>
      </c>
    </row>
    <row r="4938" spans="2:12" ht="15">
      <c r="B4938" s="648" t="s">
        <v>558</v>
      </c>
      <c r="C4938" s="19"/>
      <c r="D4938" s="19"/>
      <c r="E4938" s="19"/>
      <c r="F4938" s="19"/>
      <c r="G4938" s="20"/>
      <c r="H4938" s="68"/>
      <c r="I4938" s="17"/>
      <c r="J4938" s="28">
        <v>0</v>
      </c>
      <c r="K4938" s="17"/>
      <c r="L4938" s="649">
        <f>PRODUCT(C4938:K4938)</f>
        <v>0</v>
      </c>
    </row>
    <row r="4939" spans="2:12" ht="15">
      <c r="B4939" s="648"/>
      <c r="C4939" s="20"/>
      <c r="D4939" s="19"/>
      <c r="E4939" s="19"/>
      <c r="F4939" s="19"/>
      <c r="G4939" s="20"/>
      <c r="H4939" s="68"/>
      <c r="I4939" s="17"/>
      <c r="J4939" s="69"/>
      <c r="K4939" s="17"/>
      <c r="L4939" s="649"/>
    </row>
    <row r="4940" spans="2:12" ht="15">
      <c r="B4940" s="650"/>
      <c r="C4940" s="20"/>
      <c r="D4940" s="20"/>
      <c r="E4940" s="20"/>
      <c r="F4940" s="20"/>
      <c r="G4940" s="20"/>
      <c r="H4940" s="20"/>
      <c r="I4940" s="20"/>
      <c r="J4940" s="69"/>
      <c r="K4940" s="17"/>
      <c r="L4940" s="649"/>
    </row>
    <row r="4941" spans="2:12" ht="15">
      <c r="B4941" s="650"/>
      <c r="C4941" s="20"/>
      <c r="D4941" s="20"/>
      <c r="E4941" s="20"/>
      <c r="F4941" s="20"/>
      <c r="G4941" s="20"/>
      <c r="H4941" s="19"/>
      <c r="I4941" s="20"/>
      <c r="J4941" s="19"/>
      <c r="K4941" s="17"/>
      <c r="L4941" s="649"/>
    </row>
    <row r="4942" spans="2:12" ht="15">
      <c r="B4942" s="650"/>
      <c r="C4942" s="20"/>
      <c r="D4942" s="20"/>
      <c r="E4942" s="20"/>
      <c r="F4942" s="20"/>
      <c r="G4942" s="20"/>
      <c r="H4942" s="19"/>
      <c r="I4942" s="20"/>
      <c r="J4942" s="19"/>
      <c r="K4942" s="17"/>
      <c r="L4942" s="649"/>
    </row>
    <row r="4943" spans="2:12" ht="15.75">
      <c r="B4943" s="981"/>
      <c r="C4943" s="982"/>
      <c r="D4943" s="982"/>
      <c r="E4943" s="982"/>
      <c r="F4943" s="982"/>
      <c r="G4943" s="982"/>
      <c r="H4943" s="982"/>
      <c r="I4943" s="982"/>
      <c r="J4943" s="982"/>
      <c r="K4943" s="982"/>
      <c r="L4943" s="983"/>
    </row>
    <row r="4944" spans="2:12">
      <c r="B4944" s="651"/>
      <c r="L4944" s="652"/>
    </row>
    <row r="4945" spans="2:13" ht="15.6" customHeight="1">
      <c r="B4945" s="752" t="s">
        <v>398</v>
      </c>
      <c r="C4945" s="74">
        <v>15</v>
      </c>
      <c r="D4945" s="1052" t="s">
        <v>1036</v>
      </c>
      <c r="E4945" s="1053"/>
      <c r="F4945" s="1053"/>
      <c r="G4945" s="1053"/>
      <c r="H4945" s="1053"/>
      <c r="I4945" s="1053"/>
      <c r="J4945" s="1053"/>
      <c r="K4945" s="1053"/>
      <c r="L4945" s="1054"/>
    </row>
    <row r="4946" spans="2:13" ht="15">
      <c r="B4946" s="1005"/>
      <c r="C4946" s="1006"/>
      <c r="D4946" s="1006"/>
      <c r="E4946" s="1006"/>
      <c r="F4946" s="1006"/>
      <c r="G4946" s="1006"/>
      <c r="H4946" s="1006"/>
      <c r="I4946" s="1006"/>
      <c r="J4946" s="1006"/>
      <c r="K4946" s="1006"/>
      <c r="L4946" s="1007"/>
    </row>
    <row r="4947" spans="2:13" ht="31.5">
      <c r="B4947" s="642" t="s">
        <v>399</v>
      </c>
      <c r="C4947" s="25">
        <f>+'PROPUESTA ECONOMICA(Proponente)'!C634</f>
        <v>15.1</v>
      </c>
      <c r="D4947" s="12" t="str">
        <f>+VLOOKUP('MEMORIAS DE CANTIDADES'!C4947,'PROPUESTA ECONOMICA(Proponente)'!$C$379:$H$661,5,FALSE)</f>
        <v>EXCAVACIONES :Excavación manual, (Incluye cargue, transporte y disposición final).</v>
      </c>
      <c r="E4947" s="13"/>
      <c r="F4947" s="12"/>
      <c r="G4947" s="12"/>
      <c r="H4947" s="12"/>
      <c r="I4947" s="11" t="s">
        <v>400</v>
      </c>
      <c r="J4947" s="12" t="str">
        <f>+VLOOKUP('MEMORIAS DE CANTIDADES'!C4947,'PROPUESTA ECONOMICA(Proponente)'!$C$379:$H$661,6,FALSE)</f>
        <v>M3</v>
      </c>
      <c r="K4947" s="11" t="s">
        <v>401</v>
      </c>
      <c r="L4947" s="643">
        <f>SUM(L4948:L4978)</f>
        <v>1800.3854000000001</v>
      </c>
      <c r="M4947" s="361"/>
    </row>
    <row r="4948" spans="2:13" ht="15">
      <c r="B4948" s="644"/>
      <c r="C4948" s="16"/>
      <c r="D4948" s="15"/>
      <c r="E4948" s="15"/>
      <c r="F4948" s="15"/>
      <c r="G4948" s="15"/>
      <c r="H4948" s="15"/>
      <c r="I4948" s="15"/>
      <c r="J4948" s="15"/>
      <c r="K4948" s="17"/>
      <c r="L4948" s="645"/>
    </row>
    <row r="4949" spans="2:13" ht="47.25">
      <c r="B4949" s="646" t="s">
        <v>402</v>
      </c>
      <c r="C4949" s="18" t="s">
        <v>403</v>
      </c>
      <c r="D4949" s="18" t="s">
        <v>404</v>
      </c>
      <c r="E4949" s="18" t="s">
        <v>405</v>
      </c>
      <c r="F4949" s="18" t="s">
        <v>406</v>
      </c>
      <c r="G4949" s="18" t="s">
        <v>407</v>
      </c>
      <c r="H4949" s="5" t="s">
        <v>408</v>
      </c>
      <c r="I4949" s="18" t="s">
        <v>409</v>
      </c>
      <c r="J4949" s="5" t="s">
        <v>410</v>
      </c>
      <c r="K4949" s="5" t="s">
        <v>411</v>
      </c>
      <c r="L4949" s="647" t="s">
        <v>412</v>
      </c>
    </row>
    <row r="4950" spans="2:13" ht="15">
      <c r="B4950" s="655"/>
      <c r="C4950" s="20"/>
      <c r="D4950" s="19"/>
      <c r="E4950" s="19"/>
      <c r="F4950" s="19"/>
      <c r="G4950" s="20"/>
      <c r="H4950" s="68"/>
      <c r="I4950" s="17"/>
      <c r="J4950" s="69"/>
      <c r="K4950" s="17"/>
      <c r="L4950" s="649"/>
    </row>
    <row r="4951" spans="2:13" ht="15.75">
      <c r="B4951" s="759" t="s">
        <v>559</v>
      </c>
      <c r="C4951" s="20"/>
      <c r="D4951" s="19"/>
      <c r="E4951" s="19"/>
      <c r="F4951" s="19"/>
      <c r="G4951" s="20"/>
      <c r="H4951" s="68"/>
      <c r="I4951" s="17"/>
      <c r="J4951" s="69"/>
      <c r="K4951" s="17"/>
      <c r="L4951" s="649"/>
    </row>
    <row r="4952" spans="2:13" ht="15">
      <c r="B4952" s="648" t="s">
        <v>538</v>
      </c>
      <c r="C4952" s="19">
        <v>187</v>
      </c>
      <c r="D4952" s="19"/>
      <c r="E4952" s="20">
        <v>0.3</v>
      </c>
      <c r="F4952" s="19"/>
      <c r="G4952" s="20"/>
      <c r="H4952" s="68"/>
      <c r="I4952" s="17"/>
      <c r="J4952" s="28">
        <v>1.1000000000000001</v>
      </c>
      <c r="K4952" s="17"/>
      <c r="L4952" s="649">
        <f t="shared" ref="L4952:L4961" si="372">PRODUCT(C4952:K4952)</f>
        <v>61.710000000000008</v>
      </c>
    </row>
    <row r="4953" spans="2:13" ht="31.15" customHeight="1">
      <c r="B4953" s="648" t="s">
        <v>539</v>
      </c>
      <c r="C4953" s="19">
        <v>488</v>
      </c>
      <c r="D4953" s="19"/>
      <c r="E4953" s="20">
        <v>0.3</v>
      </c>
      <c r="F4953" s="19"/>
      <c r="G4953" s="20"/>
      <c r="H4953" s="68"/>
      <c r="I4953" s="17"/>
      <c r="J4953" s="28">
        <v>1.1000000000000001</v>
      </c>
      <c r="K4953" s="17"/>
      <c r="L4953" s="649">
        <f t="shared" si="372"/>
        <v>161.04000000000002</v>
      </c>
    </row>
    <row r="4954" spans="2:13" ht="15">
      <c r="B4954" s="648" t="s">
        <v>560</v>
      </c>
      <c r="C4954" s="19">
        <v>354</v>
      </c>
      <c r="D4954" s="19"/>
      <c r="E4954" s="20">
        <v>0.3</v>
      </c>
      <c r="F4954" s="19"/>
      <c r="G4954" s="20"/>
      <c r="H4954" s="68"/>
      <c r="I4954" s="17"/>
      <c r="J4954" s="28">
        <v>1.1000000000000001</v>
      </c>
      <c r="K4954" s="17"/>
      <c r="L4954" s="649">
        <f t="shared" si="372"/>
        <v>116.82000000000001</v>
      </c>
    </row>
    <row r="4955" spans="2:13" ht="15">
      <c r="B4955" s="648" t="s">
        <v>561</v>
      </c>
      <c r="C4955" s="19">
        <v>313</v>
      </c>
      <c r="D4955" s="19"/>
      <c r="E4955" s="20">
        <v>0.3</v>
      </c>
      <c r="F4955" s="19"/>
      <c r="G4955" s="20"/>
      <c r="H4955" s="68"/>
      <c r="I4955" s="17"/>
      <c r="J4955" s="28">
        <v>1.1000000000000001</v>
      </c>
      <c r="K4955" s="17"/>
      <c r="L4955" s="649">
        <f t="shared" si="372"/>
        <v>103.28999999999999</v>
      </c>
    </row>
    <row r="4956" spans="2:13" ht="15">
      <c r="B4956" s="648" t="s">
        <v>562</v>
      </c>
      <c r="C4956" s="19">
        <v>171</v>
      </c>
      <c r="D4956" s="19"/>
      <c r="E4956" s="20">
        <v>0.3</v>
      </c>
      <c r="F4956" s="19"/>
      <c r="G4956" s="20"/>
      <c r="H4956" s="68"/>
      <c r="I4956" s="17"/>
      <c r="J4956" s="28">
        <v>1.1000000000000001</v>
      </c>
      <c r="K4956" s="17"/>
      <c r="L4956" s="649">
        <f t="shared" si="372"/>
        <v>56.43</v>
      </c>
    </row>
    <row r="4957" spans="2:13" ht="15">
      <c r="B4957" s="648" t="s">
        <v>563</v>
      </c>
      <c r="C4957" s="19">
        <v>210</v>
      </c>
      <c r="D4957" s="19"/>
      <c r="E4957" s="20">
        <v>0.3</v>
      </c>
      <c r="F4957" s="19"/>
      <c r="G4957" s="20"/>
      <c r="H4957" s="68"/>
      <c r="I4957" s="17"/>
      <c r="J4957" s="28">
        <v>1.1000000000000001</v>
      </c>
      <c r="K4957" s="17"/>
      <c r="L4957" s="649">
        <f t="shared" si="372"/>
        <v>69.300000000000011</v>
      </c>
    </row>
    <row r="4958" spans="2:13" ht="15">
      <c r="B4958" s="648" t="s">
        <v>564</v>
      </c>
      <c r="C4958" s="19">
        <v>223</v>
      </c>
      <c r="D4958" s="19"/>
      <c r="E4958" s="20">
        <v>0.3</v>
      </c>
      <c r="F4958" s="19"/>
      <c r="G4958" s="20"/>
      <c r="H4958" s="68"/>
      <c r="I4958" s="17"/>
      <c r="J4958" s="28">
        <v>1.1000000000000001</v>
      </c>
      <c r="K4958" s="17"/>
      <c r="L4958" s="649">
        <f t="shared" si="372"/>
        <v>73.59</v>
      </c>
    </row>
    <row r="4959" spans="2:13" ht="15">
      <c r="B4959" s="648" t="s">
        <v>1070</v>
      </c>
      <c r="C4959" s="19">
        <v>134</v>
      </c>
      <c r="D4959" s="19"/>
      <c r="E4959" s="20">
        <v>0.3</v>
      </c>
      <c r="F4959" s="19"/>
      <c r="G4959" s="20"/>
      <c r="H4959" s="68"/>
      <c r="I4959" s="17"/>
      <c r="J4959" s="28">
        <v>1.1000000000000001</v>
      </c>
      <c r="K4959" s="17"/>
      <c r="L4959" s="649">
        <f t="shared" si="372"/>
        <v>44.22</v>
      </c>
    </row>
    <row r="4960" spans="2:13" ht="15">
      <c r="B4960" s="648" t="s">
        <v>1071</v>
      </c>
      <c r="C4960" s="19">
        <v>234</v>
      </c>
      <c r="D4960" s="19"/>
      <c r="E4960" s="20">
        <v>0.3</v>
      </c>
      <c r="F4960" s="19"/>
      <c r="G4960" s="20"/>
      <c r="H4960" s="68"/>
      <c r="I4960" s="17"/>
      <c r="J4960" s="28">
        <v>1.1000000000000001</v>
      </c>
      <c r="K4960" s="17"/>
      <c r="L4960" s="649">
        <f t="shared" si="372"/>
        <v>77.220000000000013</v>
      </c>
    </row>
    <row r="4961" spans="2:12" ht="15">
      <c r="B4961" s="648" t="s">
        <v>1072</v>
      </c>
      <c r="C4961" s="19">
        <v>178</v>
      </c>
      <c r="D4961" s="19"/>
      <c r="E4961" s="20">
        <v>0.3</v>
      </c>
      <c r="F4961" s="19"/>
      <c r="G4961" s="20"/>
      <c r="H4961" s="68"/>
      <c r="I4961" s="17"/>
      <c r="J4961" s="28">
        <v>1.1000000000000001</v>
      </c>
      <c r="K4961" s="17"/>
      <c r="L4961" s="649">
        <f t="shared" si="372"/>
        <v>58.74</v>
      </c>
    </row>
    <row r="4962" spans="2:12" ht="15">
      <c r="B4962" s="648"/>
      <c r="C4962" s="19"/>
      <c r="D4962" s="19"/>
      <c r="E4962" s="20"/>
      <c r="F4962" s="19"/>
      <c r="G4962" s="20"/>
      <c r="H4962" s="68"/>
      <c r="I4962" s="17"/>
      <c r="J4962" s="28"/>
      <c r="K4962" s="17"/>
      <c r="L4962" s="649"/>
    </row>
    <row r="4963" spans="2:12" ht="15.75">
      <c r="B4963" s="759"/>
      <c r="C4963" s="20"/>
      <c r="D4963" s="19"/>
      <c r="E4963" s="19"/>
      <c r="F4963" s="19"/>
      <c r="G4963" s="20"/>
      <c r="H4963" s="68"/>
      <c r="I4963" s="17"/>
      <c r="J4963" s="28">
        <v>1.1000000000000001</v>
      </c>
      <c r="K4963" s="17"/>
      <c r="L4963" s="649"/>
    </row>
    <row r="4964" spans="2:12" ht="15">
      <c r="B4964" s="648" t="s">
        <v>565</v>
      </c>
      <c r="C4964" s="19"/>
      <c r="D4964" s="19"/>
      <c r="E4964" s="19">
        <v>0.4</v>
      </c>
      <c r="F4964" s="19">
        <v>565</v>
      </c>
      <c r="G4964" s="20"/>
      <c r="H4964" s="68"/>
      <c r="I4964" s="17">
        <v>1.2</v>
      </c>
      <c r="J4964" s="28">
        <v>1.1000000000000001</v>
      </c>
      <c r="K4964" s="17"/>
      <c r="L4964" s="649">
        <f>PRODUCT(C4964:K4964)</f>
        <v>298.32</v>
      </c>
    </row>
    <row r="4965" spans="2:12" ht="15.75">
      <c r="B4965" s="759" t="s">
        <v>1068</v>
      </c>
      <c r="C4965" s="19">
        <v>1.25</v>
      </c>
      <c r="D4965" s="19"/>
      <c r="E4965" s="19">
        <v>0.3</v>
      </c>
      <c r="F4965" s="19"/>
      <c r="G4965" s="20"/>
      <c r="H4965" s="68"/>
      <c r="I4965" s="17">
        <v>80</v>
      </c>
      <c r="J4965" s="28">
        <v>1.1000000000000001</v>
      </c>
      <c r="K4965" s="17"/>
      <c r="L4965" s="649">
        <f>PRODUCT(C4965:K4965)</f>
        <v>33</v>
      </c>
    </row>
    <row r="4966" spans="2:12" ht="15.75">
      <c r="B4966" s="806" t="s">
        <v>1069</v>
      </c>
      <c r="C4966" s="19">
        <v>1.25</v>
      </c>
      <c r="D4966" s="19"/>
      <c r="E4966" s="19">
        <v>0.3</v>
      </c>
      <c r="F4966" s="19"/>
      <c r="G4966" s="20"/>
      <c r="H4966" s="68"/>
      <c r="I4966" s="17">
        <v>102</v>
      </c>
      <c r="J4966" s="28">
        <v>1.1000000000000001</v>
      </c>
      <c r="K4966" s="17"/>
      <c r="L4966" s="649">
        <f>PRODUCT(C4966:K4966)</f>
        <v>42.075000000000003</v>
      </c>
    </row>
    <row r="4967" spans="2:12" ht="15.75">
      <c r="B4967" s="759" t="s">
        <v>870</v>
      </c>
      <c r="C4967" s="19"/>
      <c r="D4967" s="19">
        <v>1.6</v>
      </c>
      <c r="E4967" s="19"/>
      <c r="F4967" s="19">
        <f>78+8+2.25+2+2.34+1.4*3+3.5+1.5</f>
        <v>101.79</v>
      </c>
      <c r="G4967" s="20"/>
      <c r="H4967" s="68"/>
      <c r="I4967" s="17"/>
      <c r="J4967" s="28">
        <v>1.1000000000000001</v>
      </c>
      <c r="K4967" s="17"/>
      <c r="L4967" s="649">
        <f>PRODUCT(C4967:K4967)</f>
        <v>179.15040000000005</v>
      </c>
    </row>
    <row r="4968" spans="2:12" ht="15.75">
      <c r="B4968" s="759"/>
      <c r="C4968" s="19"/>
      <c r="D4968" s="19"/>
      <c r="E4968" s="19"/>
      <c r="F4968" s="19"/>
      <c r="G4968" s="20"/>
      <c r="H4968" s="68"/>
      <c r="I4968" s="17"/>
      <c r="J4968" s="28"/>
      <c r="K4968" s="17"/>
      <c r="L4968" s="649"/>
    </row>
    <row r="4969" spans="2:12" ht="15">
      <c r="B4969" s="648" t="s">
        <v>566</v>
      </c>
      <c r="C4969" s="19">
        <v>162</v>
      </c>
      <c r="D4969" s="19"/>
      <c r="E4969" s="19">
        <v>0.3</v>
      </c>
      <c r="F4969" s="19"/>
      <c r="G4969" s="20"/>
      <c r="H4969" s="68"/>
      <c r="I4969" s="17">
        <v>2</v>
      </c>
      <c r="J4969" s="28">
        <v>1.1000000000000001</v>
      </c>
      <c r="K4969" s="17"/>
      <c r="L4969" s="649">
        <f>PRODUCT(C4969:K4969)</f>
        <v>106.92000000000002</v>
      </c>
    </row>
    <row r="4970" spans="2:12" ht="15">
      <c r="B4970" s="648"/>
      <c r="C4970" s="19"/>
      <c r="D4970" s="19"/>
      <c r="E4970" s="19"/>
      <c r="F4970" s="19"/>
      <c r="G4970" s="20"/>
      <c r="H4970" s="68"/>
      <c r="I4970" s="17"/>
      <c r="J4970" s="28"/>
      <c r="K4970" s="17"/>
      <c r="L4970" s="649"/>
    </row>
    <row r="4971" spans="2:12" ht="13.9" customHeight="1">
      <c r="B4971" s="759"/>
      <c r="C4971" s="20"/>
      <c r="D4971" s="19"/>
      <c r="E4971" s="19"/>
      <c r="F4971" s="19"/>
      <c r="G4971" s="20"/>
      <c r="H4971" s="68"/>
      <c r="I4971" s="17"/>
      <c r="J4971" s="28">
        <v>1.1000000000000001</v>
      </c>
      <c r="K4971" s="17"/>
      <c r="L4971" s="649"/>
    </row>
    <row r="4972" spans="2:12" ht="15">
      <c r="B4972" s="648" t="s">
        <v>1110</v>
      </c>
      <c r="C4972" s="19">
        <v>724</v>
      </c>
      <c r="D4972" s="19"/>
      <c r="E4972" s="19">
        <v>0.4</v>
      </c>
      <c r="F4972" s="19"/>
      <c r="G4972" s="20"/>
      <c r="H4972" s="68"/>
      <c r="I4972" s="17"/>
      <c r="J4972" s="28">
        <v>1.1000000000000001</v>
      </c>
      <c r="K4972" s="17"/>
      <c r="L4972" s="649">
        <f>PRODUCT(C4972:K4972)</f>
        <v>318.56000000000006</v>
      </c>
    </row>
    <row r="4973" spans="2:12" ht="15">
      <c r="B4973" s="648"/>
      <c r="C4973" s="19"/>
      <c r="D4973" s="19"/>
      <c r="E4973" s="19"/>
      <c r="F4973" s="19"/>
      <c r="G4973" s="20"/>
      <c r="H4973" s="68"/>
      <c r="I4973" s="17"/>
      <c r="J4973" s="28"/>
      <c r="K4973" s="17"/>
      <c r="L4973" s="649"/>
    </row>
    <row r="4974" spans="2:12" ht="15.75">
      <c r="B4974" s="648"/>
      <c r="C4974" s="19"/>
      <c r="D4974" s="18"/>
      <c r="E4974" s="19"/>
      <c r="F4974" s="18"/>
      <c r="G4974" s="18"/>
      <c r="H4974" s="5"/>
      <c r="I4974" s="18"/>
      <c r="J4974" s="28"/>
      <c r="K4974" s="5"/>
      <c r="L4974" s="649"/>
    </row>
    <row r="4975" spans="2:12" ht="15.75">
      <c r="B4975" s="648"/>
      <c r="C4975" s="19"/>
      <c r="D4975" s="19"/>
      <c r="E4975" s="19"/>
      <c r="F4975" s="19"/>
      <c r="G4975" s="18"/>
      <c r="H4975" s="5"/>
      <c r="I4975" s="18"/>
      <c r="J4975" s="28"/>
      <c r="K4975" s="5"/>
      <c r="L4975" s="649"/>
    </row>
    <row r="4976" spans="2:12" ht="15.75">
      <c r="B4976" s="646"/>
      <c r="C4976" s="18"/>
      <c r="D4976" s="18"/>
      <c r="E4976" s="18"/>
      <c r="F4976" s="18"/>
      <c r="G4976" s="18"/>
      <c r="H4976" s="5"/>
      <c r="I4976" s="18"/>
      <c r="J4976" s="5"/>
      <c r="K4976" s="5"/>
      <c r="L4976" s="647"/>
    </row>
    <row r="4977" spans="2:12" ht="15.75">
      <c r="B4977" s="646"/>
      <c r="C4977" s="18"/>
      <c r="D4977" s="18"/>
      <c r="E4977" s="18"/>
      <c r="F4977" s="18"/>
      <c r="G4977" s="18"/>
      <c r="H4977" s="5"/>
      <c r="I4977" s="18"/>
      <c r="J4977" s="5"/>
      <c r="K4977" s="5"/>
      <c r="L4977" s="647"/>
    </row>
    <row r="4978" spans="2:12" ht="15.75">
      <c r="B4978" s="981"/>
      <c r="C4978" s="982"/>
      <c r="D4978" s="982"/>
      <c r="E4978" s="982"/>
      <c r="F4978" s="982"/>
      <c r="G4978" s="982"/>
      <c r="H4978" s="982"/>
      <c r="I4978" s="982"/>
      <c r="J4978" s="982"/>
      <c r="K4978" s="982"/>
      <c r="L4978" s="983"/>
    </row>
    <row r="4979" spans="2:12">
      <c r="B4979" s="651"/>
      <c r="L4979" s="652"/>
    </row>
    <row r="4980" spans="2:12" ht="15.6" customHeight="1">
      <c r="B4980" s="638" t="s">
        <v>398</v>
      </c>
      <c r="C4980" s="8">
        <v>15</v>
      </c>
      <c r="D4980" s="1008" t="s">
        <v>1036</v>
      </c>
      <c r="E4980" s="1009"/>
      <c r="F4980" s="1009"/>
      <c r="G4980" s="1009"/>
      <c r="H4980" s="1009"/>
      <c r="I4980" s="1009"/>
      <c r="J4980" s="1009"/>
      <c r="K4980" s="1009"/>
      <c r="L4980" s="1010"/>
    </row>
    <row r="4981" spans="2:12" ht="15">
      <c r="B4981" s="1005"/>
      <c r="C4981" s="1006"/>
      <c r="D4981" s="1006"/>
      <c r="E4981" s="1006"/>
      <c r="F4981" s="1006"/>
      <c r="G4981" s="1006"/>
      <c r="H4981" s="1006"/>
      <c r="I4981" s="1006"/>
      <c r="J4981" s="1006"/>
      <c r="K4981" s="1006"/>
      <c r="L4981" s="1007"/>
    </row>
    <row r="4982" spans="2:12" ht="47.25">
      <c r="B4982" s="642" t="s">
        <v>399</v>
      </c>
      <c r="C4982" s="25">
        <f>+'PROPUESTA ECONOMICA(Proponente)'!C635</f>
        <v>15.2</v>
      </c>
      <c r="D4982" s="12" t="str">
        <f>+VLOOKUP('MEMORIAS DE CANTIDADES'!C4982,'PROPUESTA ECONOMICA(Proponente)'!$C$379:$H$661,5,FALSE)</f>
        <v>EXCAVACIONES MECANICAS VARIAS EN MATERIAL COMUN SECO (Incluye cargue, transporte y disposición final)</v>
      </c>
      <c r="E4982" s="13"/>
      <c r="F4982" s="12"/>
      <c r="G4982" s="12"/>
      <c r="H4982" s="12"/>
      <c r="I4982" s="11" t="s">
        <v>400</v>
      </c>
      <c r="J4982" s="12" t="str">
        <f>+VLOOKUP('MEMORIAS DE CANTIDADES'!C4982,'PROPUESTA ECONOMICA(Proponente)'!$C$379:$H$661,6,FALSE)</f>
        <v>M3</v>
      </c>
      <c r="K4982" s="11" t="s">
        <v>401</v>
      </c>
      <c r="L4982" s="643">
        <f>SUM(L4983:L4991)</f>
        <v>4653.6161100000008</v>
      </c>
    </row>
    <row r="4983" spans="2:12" ht="15">
      <c r="B4983" s="644"/>
      <c r="C4983" s="16"/>
      <c r="D4983" s="15"/>
      <c r="E4983" s="15"/>
      <c r="F4983" s="15"/>
      <c r="G4983" s="15"/>
      <c r="H4983" s="15"/>
      <c r="I4983" s="15"/>
      <c r="J4983" s="15"/>
      <c r="K4983" s="17"/>
      <c r="L4983" s="645"/>
    </row>
    <row r="4984" spans="2:12" ht="47.25">
      <c r="B4984" s="646" t="s">
        <v>402</v>
      </c>
      <c r="C4984" s="18" t="s">
        <v>403</v>
      </c>
      <c r="D4984" s="18" t="s">
        <v>404</v>
      </c>
      <c r="E4984" s="18" t="s">
        <v>405</v>
      </c>
      <c r="F4984" s="18" t="s">
        <v>406</v>
      </c>
      <c r="G4984" s="18" t="s">
        <v>407</v>
      </c>
      <c r="H4984" s="5" t="s">
        <v>408</v>
      </c>
      <c r="I4984" s="18" t="s">
        <v>409</v>
      </c>
      <c r="J4984" s="5" t="s">
        <v>410</v>
      </c>
      <c r="K4984" s="5" t="s">
        <v>411</v>
      </c>
      <c r="L4984" s="647" t="s">
        <v>412</v>
      </c>
    </row>
    <row r="4985" spans="2:12" ht="15.75">
      <c r="B4985" s="648" t="s">
        <v>568</v>
      </c>
      <c r="C4985" s="125">
        <v>7744</v>
      </c>
      <c r="D4985" s="19"/>
      <c r="E4985" s="19">
        <v>0.5</v>
      </c>
      <c r="F4985" s="19"/>
      <c r="G4985" s="20"/>
      <c r="H4985" s="68"/>
      <c r="I4985" s="17">
        <v>1.1000000000000001</v>
      </c>
      <c r="J4985" s="28"/>
      <c r="K4985" s="17"/>
      <c r="L4985" s="649">
        <f>PRODUCT(C4985:K4985)</f>
        <v>4259.2000000000007</v>
      </c>
    </row>
    <row r="4986" spans="2:12">
      <c r="B4986" s="655"/>
      <c r="C4986" s="39"/>
      <c r="D4986" s="39"/>
      <c r="E4986" s="39"/>
      <c r="F4986" s="39"/>
      <c r="G4986" s="39"/>
      <c r="H4986" s="39"/>
      <c r="I4986" s="39"/>
      <c r="J4986" s="39"/>
      <c r="K4986" s="39"/>
      <c r="L4986" s="738"/>
    </row>
    <row r="4987" spans="2:12" ht="15.75">
      <c r="B4987" s="648" t="s">
        <v>569</v>
      </c>
      <c r="C4987" s="125">
        <f>1602.1202-885</f>
        <v>717.12020000000007</v>
      </c>
      <c r="D4987" s="19"/>
      <c r="E4987" s="19">
        <v>0.5</v>
      </c>
      <c r="F4987" s="19"/>
      <c r="G4987" s="20"/>
      <c r="H4987" s="68"/>
      <c r="I4987" s="17">
        <v>1.1000000000000001</v>
      </c>
      <c r="J4987" s="28"/>
      <c r="K4987" s="17"/>
      <c r="L4987" s="649">
        <f>PRODUCT(C4987:K4987)</f>
        <v>394.41611000000006</v>
      </c>
    </row>
    <row r="4988" spans="2:12">
      <c r="B4988" s="655"/>
      <c r="C4988" s="39"/>
      <c r="D4988" s="39"/>
      <c r="E4988" s="39"/>
      <c r="F4988" s="39"/>
      <c r="G4988" s="39"/>
      <c r="H4988" s="39"/>
      <c r="I4988" s="39"/>
      <c r="J4988" s="39"/>
      <c r="K4988" s="39"/>
      <c r="L4988" s="738"/>
    </row>
    <row r="4989" spans="2:12">
      <c r="B4989" s="655"/>
      <c r="C4989" s="39"/>
      <c r="D4989" s="39"/>
      <c r="E4989" s="39"/>
      <c r="F4989" s="39"/>
      <c r="G4989" s="39"/>
      <c r="H4989" s="39"/>
      <c r="I4989" s="39"/>
      <c r="J4989" s="39"/>
      <c r="K4989" s="39"/>
      <c r="L4989" s="738"/>
    </row>
    <row r="4990" spans="2:12">
      <c r="B4990" s="655"/>
      <c r="C4990" s="39"/>
      <c r="D4990" s="39"/>
      <c r="E4990" s="39"/>
      <c r="F4990" s="39"/>
      <c r="G4990" s="39"/>
      <c r="H4990" s="39"/>
      <c r="I4990" s="39"/>
      <c r="J4990" s="39"/>
      <c r="K4990" s="39"/>
      <c r="L4990" s="738"/>
    </row>
    <row r="4991" spans="2:12" ht="15.75">
      <c r="B4991" s="981"/>
      <c r="C4991" s="982"/>
      <c r="D4991" s="982"/>
      <c r="E4991" s="982"/>
      <c r="F4991" s="982"/>
      <c r="G4991" s="982"/>
      <c r="H4991" s="982"/>
      <c r="I4991" s="982"/>
      <c r="J4991" s="982"/>
      <c r="K4991" s="982"/>
      <c r="L4991" s="983"/>
    </row>
    <row r="4992" spans="2:12">
      <c r="B4992" s="651"/>
      <c r="L4992" s="652"/>
    </row>
    <row r="4993" spans="2:14" ht="15.6" customHeight="1">
      <c r="B4993" s="638" t="s">
        <v>398</v>
      </c>
      <c r="C4993" s="8">
        <v>15</v>
      </c>
      <c r="D4993" s="1008" t="s">
        <v>1036</v>
      </c>
      <c r="E4993" s="1009"/>
      <c r="F4993" s="1009"/>
      <c r="G4993" s="1009"/>
      <c r="H4993" s="1009"/>
      <c r="I4993" s="1009"/>
      <c r="J4993" s="1009"/>
      <c r="K4993" s="1009"/>
      <c r="L4993" s="1010"/>
    </row>
    <row r="4994" spans="2:14" ht="15">
      <c r="B4994" s="1005"/>
      <c r="C4994" s="1006"/>
      <c r="D4994" s="1006"/>
      <c r="E4994" s="1006"/>
      <c r="F4994" s="1006"/>
      <c r="G4994" s="1006"/>
      <c r="H4994" s="1006"/>
      <c r="I4994" s="1006"/>
      <c r="J4994" s="1006"/>
      <c r="K4994" s="1006"/>
      <c r="L4994" s="1007"/>
    </row>
    <row r="4995" spans="2:14" ht="78.75">
      <c r="B4995" s="642" t="s">
        <v>399</v>
      </c>
      <c r="C4995" s="25">
        <f>+'PROPUESTA ECONOMICA(Proponente)'!C636</f>
        <v>15.3</v>
      </c>
      <c r="D4995" s="12" t="str">
        <f>+VLOOKUP('MEMORIAS DE CANTIDADES'!C4995,'PROPUESTA ECONOMICA(Proponente)'!$C$379:$H$661,5,FALSE)</f>
        <v>RELLENO SELECCIONADO: Relleno compactado para área cimentaciones, con material seleccionado, zahorra al 95% del proctor estándar en cimentación. (suministro, humedecimiento y compactación)</v>
      </c>
      <c r="E4995" s="13"/>
      <c r="F4995" s="12"/>
      <c r="G4995" s="12"/>
      <c r="H4995" s="12"/>
      <c r="I4995" s="11" t="s">
        <v>400</v>
      </c>
      <c r="J4995" s="12" t="str">
        <f>+VLOOKUP('MEMORIAS DE CANTIDADES'!C4995,'PROPUESTA ECONOMICA(Proponente)'!$C$379:$H$661,6,FALSE)</f>
        <v>M3</v>
      </c>
      <c r="K4995" s="11" t="s">
        <v>401</v>
      </c>
      <c r="L4995" s="643">
        <f>SUM(L4996:L5007)</f>
        <v>9090.3296660000015</v>
      </c>
    </row>
    <row r="4996" spans="2:14" ht="15">
      <c r="B4996" s="644"/>
      <c r="C4996" s="16"/>
      <c r="D4996" s="15"/>
      <c r="E4996" s="15"/>
      <c r="F4996" s="15"/>
      <c r="G4996" s="15"/>
      <c r="H4996" s="15"/>
      <c r="I4996" s="15"/>
      <c r="J4996" s="15"/>
      <c r="K4996" s="17"/>
      <c r="L4996" s="645"/>
    </row>
    <row r="4997" spans="2:14" ht="47.25">
      <c r="B4997" s="646" t="s">
        <v>402</v>
      </c>
      <c r="C4997" s="18" t="s">
        <v>403</v>
      </c>
      <c r="D4997" s="18" t="s">
        <v>404</v>
      </c>
      <c r="E4997" s="18" t="s">
        <v>405</v>
      </c>
      <c r="F4997" s="18" t="s">
        <v>406</v>
      </c>
      <c r="G4997" s="18" t="s">
        <v>407</v>
      </c>
      <c r="H4997" s="5" t="s">
        <v>408</v>
      </c>
      <c r="I4997" s="18" t="s">
        <v>409</v>
      </c>
      <c r="J4997" s="5" t="s">
        <v>410</v>
      </c>
      <c r="K4997" s="5" t="s">
        <v>411</v>
      </c>
      <c r="L4997" s="647" t="s">
        <v>412</v>
      </c>
    </row>
    <row r="4998" spans="2:14" ht="15.75">
      <c r="B4998" s="648" t="s">
        <v>1073</v>
      </c>
      <c r="C4998" s="125">
        <v>12145</v>
      </c>
      <c r="D4998" s="19"/>
      <c r="E4998" s="20">
        <v>0.3</v>
      </c>
      <c r="F4998" s="19"/>
      <c r="G4998" s="20"/>
      <c r="H4998" s="68"/>
      <c r="I4998" s="17"/>
      <c r="J4998" s="28">
        <v>1.1000000000000001</v>
      </c>
      <c r="K4998" s="17"/>
      <c r="L4998" s="649">
        <f>PRODUCT(C4998:K4998)</f>
        <v>4007.8500000000004</v>
      </c>
    </row>
    <row r="4999" spans="2:14" ht="15.75">
      <c r="B4999" s="751" t="s">
        <v>569</v>
      </c>
      <c r="C4999" s="125">
        <f>1602.1202-885</f>
        <v>717.12020000000007</v>
      </c>
      <c r="D4999" s="19"/>
      <c r="E4999" s="20">
        <v>0.3</v>
      </c>
      <c r="F4999" s="19"/>
      <c r="G4999" s="20"/>
      <c r="H4999" s="68"/>
      <c r="I4999" s="17"/>
      <c r="J4999" s="28">
        <v>1.1000000000000001</v>
      </c>
      <c r="K4999" s="17"/>
      <c r="L4999" s="649">
        <f>PRODUCT(C4999:K4999)</f>
        <v>236.64966600000002</v>
      </c>
    </row>
    <row r="5000" spans="2:14" ht="15">
      <c r="B5000" s="655"/>
      <c r="C5000" s="20"/>
      <c r="D5000" s="19"/>
      <c r="E5000" s="20"/>
      <c r="F5000" s="19"/>
      <c r="G5000" s="20"/>
      <c r="H5000" s="68"/>
      <c r="I5000" s="17"/>
      <c r="J5000" s="28"/>
      <c r="K5000" s="17"/>
      <c r="L5000" s="649"/>
    </row>
    <row r="5001" spans="2:14" ht="31.5">
      <c r="B5001" s="759" t="s">
        <v>1075</v>
      </c>
      <c r="C5001" s="468">
        <v>5027</v>
      </c>
      <c r="D5001" s="19"/>
      <c r="E5001" s="20">
        <v>0.5</v>
      </c>
      <c r="F5001" s="19"/>
      <c r="G5001" s="20"/>
      <c r="H5001" s="68"/>
      <c r="I5001" s="17"/>
      <c r="J5001" s="28">
        <v>1.1000000000000001</v>
      </c>
      <c r="K5001" s="17"/>
      <c r="L5001" s="649">
        <f>PRODUCT(C5001:K5001)</f>
        <v>2764.8500000000004</v>
      </c>
    </row>
    <row r="5002" spans="2:14" ht="15">
      <c r="B5002" s="751"/>
      <c r="C5002" s="19"/>
      <c r="D5002" s="19"/>
      <c r="E5002" s="20"/>
      <c r="F5002" s="19"/>
      <c r="G5002" s="20"/>
      <c r="H5002" s="68"/>
      <c r="I5002" s="17"/>
      <c r="J5002" s="28"/>
      <c r="K5002" s="17"/>
      <c r="L5002" s="649"/>
      <c r="N5002" s="124"/>
    </row>
    <row r="5003" spans="2:14" ht="15">
      <c r="B5003" s="751"/>
      <c r="C5003" s="19"/>
      <c r="D5003" s="19"/>
      <c r="E5003" s="20"/>
      <c r="F5003" s="19"/>
      <c r="G5003" s="20"/>
      <c r="H5003" s="68"/>
      <c r="I5003" s="17"/>
      <c r="J5003" s="370"/>
      <c r="K5003" s="17"/>
      <c r="L5003" s="649">
        <f>PRODUCT(C5003:K5003)</f>
        <v>0</v>
      </c>
    </row>
    <row r="5004" spans="2:14" ht="30">
      <c r="B5004" s="751" t="s">
        <v>1074</v>
      </c>
      <c r="C5004" s="19">
        <v>9459</v>
      </c>
      <c r="D5004" s="19"/>
      <c r="E5004" s="20">
        <v>0.2</v>
      </c>
      <c r="F5004" s="19"/>
      <c r="G5004" s="20"/>
      <c r="H5004" s="68"/>
      <c r="I5004" s="17"/>
      <c r="J5004" s="369">
        <v>1.1000000000000001</v>
      </c>
      <c r="K5004" s="17"/>
      <c r="L5004" s="649">
        <f>PRODUCT(C5004:K5004)</f>
        <v>2080.9800000000005</v>
      </c>
    </row>
    <row r="5005" spans="2:14" ht="15">
      <c r="B5005" s="751"/>
      <c r="C5005" s="19"/>
      <c r="D5005" s="19"/>
      <c r="E5005" s="19"/>
      <c r="F5005" s="19"/>
      <c r="G5005" s="20"/>
      <c r="H5005" s="68"/>
      <c r="I5005" s="17"/>
      <c r="J5005" s="69"/>
      <c r="K5005" s="17"/>
      <c r="L5005" s="649"/>
    </row>
    <row r="5006" spans="2:14" ht="15.75">
      <c r="B5006" s="759"/>
      <c r="C5006" s="20"/>
      <c r="D5006" s="19"/>
      <c r="E5006" s="19"/>
      <c r="F5006" s="19"/>
      <c r="G5006" s="20"/>
      <c r="H5006" s="68"/>
      <c r="I5006" s="17"/>
      <c r="J5006" s="69"/>
      <c r="K5006" s="17"/>
      <c r="L5006" s="649"/>
    </row>
    <row r="5007" spans="2:14" ht="15.75">
      <c r="B5007" s="981"/>
      <c r="C5007" s="982"/>
      <c r="D5007" s="982"/>
      <c r="E5007" s="982"/>
      <c r="F5007" s="982"/>
      <c r="G5007" s="982"/>
      <c r="H5007" s="982"/>
      <c r="I5007" s="982"/>
      <c r="J5007" s="982"/>
      <c r="K5007" s="982"/>
      <c r="L5007" s="983"/>
    </row>
    <row r="5008" spans="2:14">
      <c r="B5008" s="651"/>
      <c r="L5008" s="652"/>
    </row>
    <row r="5009" spans="2:12" ht="15.6" customHeight="1">
      <c r="B5009" s="638" t="s">
        <v>398</v>
      </c>
      <c r="C5009" s="8">
        <v>15</v>
      </c>
      <c r="D5009" s="1008" t="s">
        <v>1036</v>
      </c>
      <c r="E5009" s="1009"/>
      <c r="F5009" s="1009"/>
      <c r="G5009" s="1009"/>
      <c r="H5009" s="1009"/>
      <c r="I5009" s="1009"/>
      <c r="J5009" s="1009"/>
      <c r="K5009" s="1009"/>
      <c r="L5009" s="1010"/>
    </row>
    <row r="5010" spans="2:12" ht="15">
      <c r="B5010" s="1005"/>
      <c r="C5010" s="1006"/>
      <c r="D5010" s="1006"/>
      <c r="E5010" s="1006"/>
      <c r="F5010" s="1006"/>
      <c r="G5010" s="1006"/>
      <c r="H5010" s="1006"/>
      <c r="I5010" s="1006"/>
      <c r="J5010" s="1006"/>
      <c r="K5010" s="1006"/>
      <c r="L5010" s="1007"/>
    </row>
    <row r="5011" spans="2:12" ht="63">
      <c r="B5011" s="642" t="s">
        <v>399</v>
      </c>
      <c r="C5011" s="25">
        <f>+'PROPUESTA ECONOMICA(Proponente)'!C637</f>
        <v>15.4</v>
      </c>
      <c r="D5011" s="12" t="str">
        <f>+VLOOKUP('MEMORIAS DE CANTIDADES'!C5011,'PROPUESTA ECONOMICA(Proponente)'!$C$379:$H$661,5,FALSE)</f>
        <v>Relleno de Subbase Granular clase C (incluye suministro, extendido, nivelación, humedecimiento y compactación con vibrocompactador)</v>
      </c>
      <c r="E5011" s="13"/>
      <c r="F5011" s="12"/>
      <c r="G5011" s="12"/>
      <c r="H5011" s="12"/>
      <c r="I5011" s="11" t="s">
        <v>400</v>
      </c>
      <c r="J5011" s="12" t="str">
        <f>+VLOOKUP('MEMORIAS DE CANTIDADES'!C5011,'PROPUESTA ECONOMICA(Proponente)'!$C$379:$H$661,6,FALSE)</f>
        <v>M3</v>
      </c>
      <c r="K5011" s="11" t="s">
        <v>401</v>
      </c>
      <c r="L5011" s="643">
        <f>SUM(L5012:L5042)</f>
        <v>3105.6465639999992</v>
      </c>
    </row>
    <row r="5012" spans="2:12" ht="15">
      <c r="B5012" s="644"/>
      <c r="C5012" s="16"/>
      <c r="D5012" s="15"/>
      <c r="E5012" s="15"/>
      <c r="F5012" s="15"/>
      <c r="G5012" s="15"/>
      <c r="H5012" s="15"/>
      <c r="I5012" s="15"/>
      <c r="J5012" s="15"/>
      <c r="K5012" s="17"/>
      <c r="L5012" s="645"/>
    </row>
    <row r="5013" spans="2:12" ht="47.25">
      <c r="B5013" s="646" t="s">
        <v>402</v>
      </c>
      <c r="C5013" s="18" t="s">
        <v>403</v>
      </c>
      <c r="D5013" s="18" t="s">
        <v>404</v>
      </c>
      <c r="E5013" s="18" t="s">
        <v>405</v>
      </c>
      <c r="F5013" s="18" t="s">
        <v>406</v>
      </c>
      <c r="G5013" s="18" t="s">
        <v>407</v>
      </c>
      <c r="H5013" s="5" t="s">
        <v>408</v>
      </c>
      <c r="I5013" s="18" t="s">
        <v>409</v>
      </c>
      <c r="J5013" s="5" t="s">
        <v>410</v>
      </c>
      <c r="K5013" s="5" t="s">
        <v>411</v>
      </c>
      <c r="L5013" s="647" t="s">
        <v>412</v>
      </c>
    </row>
    <row r="5014" spans="2:12" ht="15.75">
      <c r="B5014" s="751" t="s">
        <v>569</v>
      </c>
      <c r="C5014" s="224">
        <f>1602.1202-885</f>
        <v>717.12020000000007</v>
      </c>
      <c r="D5014" s="19"/>
      <c r="E5014" s="19">
        <v>0.2</v>
      </c>
      <c r="F5014" s="19"/>
      <c r="G5014" s="20"/>
      <c r="H5014" s="68"/>
      <c r="I5014" s="17"/>
      <c r="J5014" s="28">
        <v>1.1000000000000001</v>
      </c>
      <c r="K5014" s="17"/>
      <c r="L5014" s="649">
        <f>PRODUCT(C5014:K5014)</f>
        <v>157.76644400000004</v>
      </c>
    </row>
    <row r="5015" spans="2:12" ht="15">
      <c r="B5015" s="751"/>
      <c r="C5015" s="20"/>
      <c r="D5015" s="19"/>
      <c r="E5015" s="19"/>
      <c r="F5015" s="19"/>
      <c r="G5015" s="20"/>
      <c r="H5015" s="68"/>
      <c r="I5015" s="17"/>
      <c r="J5015" s="369">
        <v>1.1000000000000001</v>
      </c>
      <c r="K5015" s="17"/>
      <c r="L5015" s="649"/>
    </row>
    <row r="5016" spans="2:12" ht="15.75">
      <c r="B5016" s="751" t="s">
        <v>568</v>
      </c>
      <c r="C5016" s="224">
        <f>9046-560</f>
        <v>8486</v>
      </c>
      <c r="D5016" s="19"/>
      <c r="E5016" s="19">
        <v>0.15</v>
      </c>
      <c r="F5016" s="19"/>
      <c r="G5016" s="20"/>
      <c r="H5016" s="68"/>
      <c r="I5016" s="17"/>
      <c r="J5016" s="371"/>
      <c r="K5016" s="17"/>
      <c r="L5016" s="649">
        <f>PRODUCT(C5016:K5016)</f>
        <v>1272.8999999999999</v>
      </c>
    </row>
    <row r="5017" spans="2:12" ht="15">
      <c r="B5017" s="655"/>
      <c r="C5017" s="20"/>
      <c r="D5017" s="19"/>
      <c r="E5017" s="19"/>
      <c r="F5017" s="19"/>
      <c r="G5017" s="20"/>
      <c r="H5017" s="68"/>
      <c r="I5017" s="17"/>
      <c r="J5017" s="369"/>
      <c r="K5017" s="17"/>
      <c r="L5017" s="649"/>
    </row>
    <row r="5018" spans="2:12" ht="15">
      <c r="B5018" s="655"/>
      <c r="C5018" s="20"/>
      <c r="D5018" s="19"/>
      <c r="E5018" s="19"/>
      <c r="F5018" s="19"/>
      <c r="G5018" s="20"/>
      <c r="H5018" s="68"/>
      <c r="I5018" s="17"/>
      <c r="J5018" s="369"/>
      <c r="K5018" s="17"/>
      <c r="L5018" s="649"/>
    </row>
    <row r="5019" spans="2:12" ht="15.75">
      <c r="B5019" s="759" t="s">
        <v>559</v>
      </c>
      <c r="C5019" s="20"/>
      <c r="D5019" s="19"/>
      <c r="E5019" s="19"/>
      <c r="F5019" s="19"/>
      <c r="G5019" s="20"/>
      <c r="H5019" s="68"/>
      <c r="I5019" s="17"/>
      <c r="J5019" s="69"/>
      <c r="K5019" s="17"/>
      <c r="L5019" s="649"/>
    </row>
    <row r="5020" spans="2:12" ht="15">
      <c r="B5020" s="648" t="s">
        <v>538</v>
      </c>
      <c r="C5020" s="19">
        <v>187</v>
      </c>
      <c r="D5020" s="19"/>
      <c r="E5020" s="20">
        <v>0.3</v>
      </c>
      <c r="F5020" s="19"/>
      <c r="G5020" s="20"/>
      <c r="H5020" s="68"/>
      <c r="I5020" s="17"/>
      <c r="J5020" s="28">
        <v>1.1000000000000001</v>
      </c>
      <c r="K5020" s="17"/>
      <c r="L5020" s="649">
        <f t="shared" ref="L5020:L5029" si="373">PRODUCT(C5020:K5020)</f>
        <v>61.710000000000008</v>
      </c>
    </row>
    <row r="5021" spans="2:12" ht="15">
      <c r="B5021" s="648" t="s">
        <v>539</v>
      </c>
      <c r="C5021" s="19">
        <v>488</v>
      </c>
      <c r="D5021" s="19"/>
      <c r="E5021" s="20">
        <v>0.3</v>
      </c>
      <c r="F5021" s="19"/>
      <c r="G5021" s="20"/>
      <c r="H5021" s="68"/>
      <c r="I5021" s="17"/>
      <c r="J5021" s="28">
        <v>1.1000000000000001</v>
      </c>
      <c r="K5021" s="17"/>
      <c r="L5021" s="649">
        <f t="shared" si="373"/>
        <v>161.04000000000002</v>
      </c>
    </row>
    <row r="5022" spans="2:12" ht="15">
      <c r="B5022" s="648" t="s">
        <v>560</v>
      </c>
      <c r="C5022" s="19">
        <v>354</v>
      </c>
      <c r="D5022" s="19"/>
      <c r="E5022" s="20">
        <v>0.3</v>
      </c>
      <c r="F5022" s="19"/>
      <c r="G5022" s="20"/>
      <c r="H5022" s="68"/>
      <c r="I5022" s="17"/>
      <c r="J5022" s="28">
        <v>1.1000000000000001</v>
      </c>
      <c r="K5022" s="17"/>
      <c r="L5022" s="649">
        <f t="shared" si="373"/>
        <v>116.82000000000001</v>
      </c>
    </row>
    <row r="5023" spans="2:12" ht="15">
      <c r="B5023" s="648" t="s">
        <v>561</v>
      </c>
      <c r="C5023" s="19">
        <v>313</v>
      </c>
      <c r="D5023" s="19"/>
      <c r="E5023" s="20">
        <v>0.3</v>
      </c>
      <c r="F5023" s="19"/>
      <c r="G5023" s="20"/>
      <c r="H5023" s="68"/>
      <c r="I5023" s="17"/>
      <c r="J5023" s="28">
        <v>1.1000000000000001</v>
      </c>
      <c r="K5023" s="17"/>
      <c r="L5023" s="649">
        <f t="shared" si="373"/>
        <v>103.28999999999999</v>
      </c>
    </row>
    <row r="5024" spans="2:12" ht="15">
      <c r="B5024" s="648" t="s">
        <v>562</v>
      </c>
      <c r="C5024" s="19">
        <v>171</v>
      </c>
      <c r="D5024" s="19"/>
      <c r="E5024" s="20">
        <v>0.3</v>
      </c>
      <c r="F5024" s="19"/>
      <c r="G5024" s="20"/>
      <c r="H5024" s="68"/>
      <c r="I5024" s="17"/>
      <c r="J5024" s="28">
        <v>1.1000000000000001</v>
      </c>
      <c r="K5024" s="17"/>
      <c r="L5024" s="649">
        <f t="shared" si="373"/>
        <v>56.43</v>
      </c>
    </row>
    <row r="5025" spans="2:12" ht="15">
      <c r="B5025" s="648" t="s">
        <v>563</v>
      </c>
      <c r="C5025" s="19">
        <v>210</v>
      </c>
      <c r="D5025" s="19"/>
      <c r="E5025" s="20">
        <v>0.3</v>
      </c>
      <c r="F5025" s="19"/>
      <c r="G5025" s="20"/>
      <c r="H5025" s="68"/>
      <c r="I5025" s="17"/>
      <c r="J5025" s="28">
        <v>1.1000000000000001</v>
      </c>
      <c r="K5025" s="17"/>
      <c r="L5025" s="649">
        <f t="shared" si="373"/>
        <v>69.300000000000011</v>
      </c>
    </row>
    <row r="5026" spans="2:12" ht="15">
      <c r="B5026" s="648" t="s">
        <v>564</v>
      </c>
      <c r="C5026" s="19">
        <v>223</v>
      </c>
      <c r="D5026" s="19"/>
      <c r="E5026" s="20">
        <v>0.3</v>
      </c>
      <c r="F5026" s="19"/>
      <c r="G5026" s="20"/>
      <c r="H5026" s="68"/>
      <c r="I5026" s="17"/>
      <c r="J5026" s="28">
        <v>1.1000000000000001</v>
      </c>
      <c r="K5026" s="17"/>
      <c r="L5026" s="649">
        <f t="shared" si="373"/>
        <v>73.59</v>
      </c>
    </row>
    <row r="5027" spans="2:12" ht="15">
      <c r="B5027" s="648" t="s">
        <v>1070</v>
      </c>
      <c r="C5027" s="19">
        <v>134</v>
      </c>
      <c r="D5027" s="19"/>
      <c r="E5027" s="20">
        <v>0.3</v>
      </c>
      <c r="F5027" s="19"/>
      <c r="G5027" s="20"/>
      <c r="H5027" s="68"/>
      <c r="I5027" s="17"/>
      <c r="J5027" s="28">
        <v>1.1000000000000001</v>
      </c>
      <c r="K5027" s="17"/>
      <c r="L5027" s="649">
        <f t="shared" si="373"/>
        <v>44.22</v>
      </c>
    </row>
    <row r="5028" spans="2:12" ht="15">
      <c r="B5028" s="648" t="s">
        <v>1071</v>
      </c>
      <c r="C5028" s="19">
        <v>234</v>
      </c>
      <c r="D5028" s="19"/>
      <c r="E5028" s="20">
        <v>0.3</v>
      </c>
      <c r="F5028" s="19"/>
      <c r="G5028" s="20"/>
      <c r="H5028" s="68"/>
      <c r="I5028" s="17"/>
      <c r="J5028" s="28">
        <v>1.1000000000000001</v>
      </c>
      <c r="K5028" s="17"/>
      <c r="L5028" s="649">
        <f t="shared" si="373"/>
        <v>77.220000000000013</v>
      </c>
    </row>
    <row r="5029" spans="2:12" ht="15">
      <c r="B5029" s="648" t="s">
        <v>1072</v>
      </c>
      <c r="C5029" s="19">
        <v>178</v>
      </c>
      <c r="D5029" s="19"/>
      <c r="E5029" s="20">
        <v>0.3</v>
      </c>
      <c r="F5029" s="19"/>
      <c r="G5029" s="20"/>
      <c r="H5029" s="68"/>
      <c r="I5029" s="17"/>
      <c r="J5029" s="28">
        <v>1.1000000000000001</v>
      </c>
      <c r="K5029" s="17"/>
      <c r="L5029" s="649">
        <f t="shared" si="373"/>
        <v>58.74</v>
      </c>
    </row>
    <row r="5030" spans="2:12" ht="15">
      <c r="B5030" s="648"/>
      <c r="C5030" s="19"/>
      <c r="D5030" s="19"/>
      <c r="E5030" s="20"/>
      <c r="F5030" s="19"/>
      <c r="G5030" s="20"/>
      <c r="H5030" s="68"/>
      <c r="I5030" s="17"/>
      <c r="J5030" s="28"/>
      <c r="K5030" s="17"/>
      <c r="L5030" s="649"/>
    </row>
    <row r="5031" spans="2:12" ht="15.75">
      <c r="B5031" s="759"/>
      <c r="C5031" s="20"/>
      <c r="D5031" s="19"/>
      <c r="E5031" s="19"/>
      <c r="F5031" s="19"/>
      <c r="G5031" s="20"/>
      <c r="H5031" s="68"/>
      <c r="I5031" s="17"/>
      <c r="J5031" s="28">
        <v>1.1000000000000001</v>
      </c>
      <c r="K5031" s="17"/>
      <c r="L5031" s="649"/>
    </row>
    <row r="5032" spans="2:12" ht="15">
      <c r="B5032" s="648" t="s">
        <v>565</v>
      </c>
      <c r="C5032" s="19"/>
      <c r="D5032" s="19"/>
      <c r="E5032" s="19">
        <v>0.4</v>
      </c>
      <c r="F5032" s="19">
        <v>565</v>
      </c>
      <c r="G5032" s="20"/>
      <c r="H5032" s="68"/>
      <c r="I5032" s="17">
        <v>1.2</v>
      </c>
      <c r="J5032" s="28">
        <v>1.1000000000000001</v>
      </c>
      <c r="K5032" s="17"/>
      <c r="L5032" s="649">
        <f>PRODUCT(C5032:K5032)</f>
        <v>298.32</v>
      </c>
    </row>
    <row r="5033" spans="2:12" ht="15.75">
      <c r="B5033" s="759" t="s">
        <v>1068</v>
      </c>
      <c r="C5033" s="19">
        <v>1.25</v>
      </c>
      <c r="D5033" s="19"/>
      <c r="E5033" s="19">
        <v>0.3</v>
      </c>
      <c r="F5033" s="19"/>
      <c r="G5033" s="20"/>
      <c r="H5033" s="68"/>
      <c r="I5033" s="17">
        <v>80</v>
      </c>
      <c r="J5033" s="28">
        <v>1.1000000000000001</v>
      </c>
      <c r="K5033" s="17"/>
      <c r="L5033" s="649">
        <f>PRODUCT(C5033:K5033)</f>
        <v>33</v>
      </c>
    </row>
    <row r="5034" spans="2:12" ht="15.75">
      <c r="B5034" s="806" t="s">
        <v>1069</v>
      </c>
      <c r="C5034" s="19">
        <v>1.25</v>
      </c>
      <c r="D5034" s="19"/>
      <c r="E5034" s="19">
        <v>0.3</v>
      </c>
      <c r="F5034" s="19"/>
      <c r="G5034" s="20"/>
      <c r="H5034" s="68"/>
      <c r="I5034" s="17">
        <v>102</v>
      </c>
      <c r="J5034" s="28">
        <v>1.1000000000000001</v>
      </c>
      <c r="K5034" s="17"/>
      <c r="L5034" s="649">
        <f>PRODUCT(C5034:K5034)</f>
        <v>42.075000000000003</v>
      </c>
    </row>
    <row r="5035" spans="2:12" ht="15.75">
      <c r="B5035" s="759" t="s">
        <v>870</v>
      </c>
      <c r="C5035" s="19"/>
      <c r="D5035" s="19">
        <v>1.6</v>
      </c>
      <c r="E5035" s="19">
        <v>0.3</v>
      </c>
      <c r="F5035" s="19">
        <f>78+8+2.25+2+2.34+1.4*3+3.5+1.5</f>
        <v>101.79</v>
      </c>
      <c r="G5035" s="20"/>
      <c r="H5035" s="68"/>
      <c r="I5035" s="17"/>
      <c r="J5035" s="28">
        <v>1.1000000000000001</v>
      </c>
      <c r="K5035" s="17"/>
      <c r="L5035" s="649">
        <f>PRODUCT(C5035:K5035)</f>
        <v>53.745120000000007</v>
      </c>
    </row>
    <row r="5036" spans="2:12" ht="15.75">
      <c r="B5036" s="759"/>
      <c r="C5036" s="19"/>
      <c r="D5036" s="19"/>
      <c r="E5036" s="19"/>
      <c r="F5036" s="19"/>
      <c r="G5036" s="20"/>
      <c r="H5036" s="68"/>
      <c r="I5036" s="17"/>
      <c r="J5036" s="28"/>
      <c r="K5036" s="17"/>
      <c r="L5036" s="649"/>
    </row>
    <row r="5037" spans="2:12" ht="15">
      <c r="B5037" s="648" t="s">
        <v>566</v>
      </c>
      <c r="C5037" s="19">
        <v>162</v>
      </c>
      <c r="D5037" s="19"/>
      <c r="E5037" s="19">
        <v>0.3</v>
      </c>
      <c r="F5037" s="19"/>
      <c r="G5037" s="20"/>
      <c r="H5037" s="68"/>
      <c r="I5037" s="17">
        <v>2</v>
      </c>
      <c r="J5037" s="28">
        <v>1.1000000000000001</v>
      </c>
      <c r="K5037" s="17"/>
      <c r="L5037" s="649">
        <f>PRODUCT(C5037:K5037)</f>
        <v>106.92000000000002</v>
      </c>
    </row>
    <row r="5038" spans="2:12" ht="15">
      <c r="B5038" s="648"/>
      <c r="C5038" s="19"/>
      <c r="D5038" s="19"/>
      <c r="E5038" s="19"/>
      <c r="F5038" s="19"/>
      <c r="G5038" s="20"/>
      <c r="H5038" s="68"/>
      <c r="I5038" s="17"/>
      <c r="J5038" s="28"/>
      <c r="K5038" s="17"/>
      <c r="L5038" s="649"/>
    </row>
    <row r="5039" spans="2:12" ht="15.75">
      <c r="B5039" s="759"/>
      <c r="C5039" s="20"/>
      <c r="D5039" s="19"/>
      <c r="E5039" s="19"/>
      <c r="F5039" s="19"/>
      <c r="G5039" s="20"/>
      <c r="H5039" s="68"/>
      <c r="I5039" s="17"/>
      <c r="J5039" s="28">
        <v>1.1000000000000001</v>
      </c>
      <c r="K5039" s="17"/>
      <c r="L5039" s="649"/>
    </row>
    <row r="5040" spans="2:12" ht="15">
      <c r="B5040" s="648" t="s">
        <v>567</v>
      </c>
      <c r="C5040" s="19">
        <v>724</v>
      </c>
      <c r="D5040" s="19"/>
      <c r="E5040" s="19">
        <v>0.4</v>
      </c>
      <c r="F5040" s="19"/>
      <c r="G5040" s="20"/>
      <c r="H5040" s="68"/>
      <c r="I5040" s="17"/>
      <c r="J5040" s="28">
        <v>1.1000000000000001</v>
      </c>
      <c r="K5040" s="17"/>
      <c r="L5040" s="649">
        <f>PRODUCT(C5040:K5040)</f>
        <v>318.56000000000006</v>
      </c>
    </row>
    <row r="5041" spans="2:13" ht="15">
      <c r="B5041" s="648"/>
      <c r="C5041" s="19"/>
      <c r="D5041" s="19"/>
      <c r="E5041" s="19"/>
      <c r="F5041" s="19"/>
      <c r="G5041" s="20"/>
      <c r="H5041" s="68"/>
      <c r="I5041" s="17"/>
      <c r="J5041" s="28"/>
      <c r="K5041" s="17"/>
      <c r="L5041" s="649"/>
      <c r="M5041" s="58"/>
    </row>
    <row r="5042" spans="2:13" ht="15.75">
      <c r="B5042" s="981"/>
      <c r="C5042" s="982"/>
      <c r="D5042" s="982"/>
      <c r="E5042" s="982"/>
      <c r="F5042" s="982"/>
      <c r="G5042" s="982"/>
      <c r="H5042" s="982"/>
      <c r="I5042" s="982"/>
      <c r="J5042" s="982"/>
      <c r="K5042" s="982"/>
      <c r="L5042" s="983"/>
    </row>
    <row r="5043" spans="2:13">
      <c r="B5043" s="651"/>
      <c r="L5043" s="652"/>
    </row>
    <row r="5044" spans="2:13" ht="15.6" customHeight="1">
      <c r="B5044" s="638" t="s">
        <v>398</v>
      </c>
      <c r="C5044" s="8">
        <v>15</v>
      </c>
      <c r="D5044" s="1008" t="s">
        <v>1036</v>
      </c>
      <c r="E5044" s="1009"/>
      <c r="F5044" s="1009"/>
      <c r="G5044" s="1009"/>
      <c r="H5044" s="1009"/>
      <c r="I5044" s="1009"/>
      <c r="J5044" s="1009"/>
      <c r="K5044" s="1009"/>
      <c r="L5044" s="1010"/>
    </row>
    <row r="5045" spans="2:13" ht="15">
      <c r="B5045" s="1005"/>
      <c r="C5045" s="1006"/>
      <c r="D5045" s="1006"/>
      <c r="E5045" s="1006"/>
      <c r="F5045" s="1006"/>
      <c r="G5045" s="1006"/>
      <c r="H5045" s="1006"/>
      <c r="I5045" s="1006"/>
      <c r="J5045" s="1006"/>
      <c r="K5045" s="1006"/>
      <c r="L5045" s="1007"/>
    </row>
    <row r="5046" spans="2:13" ht="47.25">
      <c r="B5046" s="642" t="s">
        <v>399</v>
      </c>
      <c r="C5046" s="25">
        <f>+'PROPUESTA ECONOMICA(Proponente)'!C638</f>
        <v>15.5</v>
      </c>
      <c r="D5046" s="12" t="str">
        <f>+VLOOKUP('MEMORIAS DE CANTIDADES'!C5046,'PROPUESTA ECONOMICA(Proponente)'!$C$379:$H$661,5,FALSE)</f>
        <v>Losas en concreto Mr 42 Mpa psi para parqueaderos , (Incluye suministro y colocación de concreto).</v>
      </c>
      <c r="E5046" s="13"/>
      <c r="F5046" s="12"/>
      <c r="G5046" s="12"/>
      <c r="H5046" s="12"/>
      <c r="I5046" s="11" t="s">
        <v>400</v>
      </c>
      <c r="J5046" s="12" t="str">
        <f>+VLOOKUP('MEMORIAS DE CANTIDADES'!C5046,'PROPUESTA ECONOMICA(Proponente)'!$C$379:$H$661,6,FALSE)</f>
        <v>M3</v>
      </c>
      <c r="K5046" s="11" t="s">
        <v>401</v>
      </c>
      <c r="L5046" s="643">
        <f>SUM(L5047:L5054)</f>
        <v>201.3</v>
      </c>
    </row>
    <row r="5047" spans="2:13" ht="15">
      <c r="B5047" s="644"/>
      <c r="C5047" s="16"/>
      <c r="D5047" s="15"/>
      <c r="E5047" s="15"/>
      <c r="F5047" s="15"/>
      <c r="G5047" s="15"/>
      <c r="H5047" s="15"/>
      <c r="I5047" s="15"/>
      <c r="J5047" s="15"/>
      <c r="K5047" s="17"/>
      <c r="L5047" s="645"/>
    </row>
    <row r="5048" spans="2:13" ht="47.25">
      <c r="B5048" s="646" t="s">
        <v>402</v>
      </c>
      <c r="C5048" s="18" t="s">
        <v>403</v>
      </c>
      <c r="D5048" s="18" t="s">
        <v>404</v>
      </c>
      <c r="E5048" s="18" t="s">
        <v>405</v>
      </c>
      <c r="F5048" s="18" t="s">
        <v>406</v>
      </c>
      <c r="G5048" s="18" t="s">
        <v>407</v>
      </c>
      <c r="H5048" s="5" t="s">
        <v>408</v>
      </c>
      <c r="I5048" s="18" t="s">
        <v>409</v>
      </c>
      <c r="J5048" s="5" t="s">
        <v>410</v>
      </c>
      <c r="K5048" s="5" t="s">
        <v>411</v>
      </c>
      <c r="L5048" s="647" t="s">
        <v>412</v>
      </c>
    </row>
    <row r="5049" spans="2:13" ht="15">
      <c r="B5049" s="751" t="s">
        <v>569</v>
      </c>
      <c r="C5049" s="19">
        <v>785</v>
      </c>
      <c r="D5049" s="19"/>
      <c r="E5049" s="19">
        <v>0.2</v>
      </c>
      <c r="F5049" s="19"/>
      <c r="G5049" s="20"/>
      <c r="H5049" s="68"/>
      <c r="I5049" s="17"/>
      <c r="J5049" s="28"/>
      <c r="K5049" s="17"/>
      <c r="L5049" s="649">
        <f>PRODUCT(C5049:K5049)</f>
        <v>157</v>
      </c>
      <c r="M5049" s="58"/>
    </row>
    <row r="5050" spans="2:13" ht="15">
      <c r="B5050" s="751" t="s">
        <v>920</v>
      </c>
      <c r="C5050" s="20">
        <v>81</v>
      </c>
      <c r="D5050" s="19"/>
      <c r="E5050" s="19">
        <v>0.3</v>
      </c>
      <c r="F5050" s="19"/>
      <c r="G5050" s="20"/>
      <c r="H5050" s="68"/>
      <c r="I5050" s="17"/>
      <c r="J5050" s="69"/>
      <c r="K5050" s="17"/>
      <c r="L5050" s="649">
        <f>PRODUCT(C5050:K5050)</f>
        <v>24.3</v>
      </c>
    </row>
    <row r="5051" spans="2:13" ht="30">
      <c r="B5051" s="650" t="s">
        <v>1000</v>
      </c>
      <c r="C5051" s="20"/>
      <c r="D5051" s="20">
        <v>4</v>
      </c>
      <c r="E5051" s="19">
        <v>0.2</v>
      </c>
      <c r="F5051" s="20">
        <v>25</v>
      </c>
      <c r="G5051" s="20"/>
      <c r="H5051" s="19"/>
      <c r="I5051" s="20"/>
      <c r="J5051" s="19"/>
      <c r="K5051" s="17"/>
      <c r="L5051" s="649">
        <f>PRODUCT(C5051:K5051)</f>
        <v>20</v>
      </c>
    </row>
    <row r="5052" spans="2:13" ht="15">
      <c r="B5052" s="650"/>
      <c r="C5052" s="20"/>
      <c r="D5052" s="20"/>
      <c r="E5052" s="20"/>
      <c r="F5052" s="20"/>
      <c r="G5052" s="20"/>
      <c r="H5052" s="19"/>
      <c r="I5052" s="20"/>
      <c r="J5052" s="19"/>
      <c r="K5052" s="17"/>
      <c r="L5052" s="649"/>
    </row>
    <row r="5053" spans="2:13" ht="15">
      <c r="B5053" s="650"/>
      <c r="C5053" s="20"/>
      <c r="D5053" s="20"/>
      <c r="E5053" s="20"/>
      <c r="F5053" s="20"/>
      <c r="G5053" s="20"/>
      <c r="H5053" s="19"/>
      <c r="I5053" s="20"/>
      <c r="J5053" s="19"/>
      <c r="K5053" s="17"/>
      <c r="L5053" s="649"/>
    </row>
    <row r="5054" spans="2:13" ht="15.75">
      <c r="B5054" s="981"/>
      <c r="C5054" s="982"/>
      <c r="D5054" s="982"/>
      <c r="E5054" s="982"/>
      <c r="F5054" s="982"/>
      <c r="G5054" s="982"/>
      <c r="H5054" s="982"/>
      <c r="I5054" s="982"/>
      <c r="J5054" s="982"/>
      <c r="K5054" s="982"/>
      <c r="L5054" s="983"/>
    </row>
    <row r="5055" spans="2:13">
      <c r="B5055" s="651"/>
      <c r="L5055" s="652"/>
    </row>
    <row r="5056" spans="2:13" ht="15.6" customHeight="1">
      <c r="B5056" s="638" t="s">
        <v>398</v>
      </c>
      <c r="C5056" s="8">
        <v>15</v>
      </c>
      <c r="D5056" s="1008" t="s">
        <v>1036</v>
      </c>
      <c r="E5056" s="1009"/>
      <c r="F5056" s="1009"/>
      <c r="G5056" s="1009"/>
      <c r="H5056" s="1009"/>
      <c r="I5056" s="1009"/>
      <c r="J5056" s="1009"/>
      <c r="K5056" s="1009"/>
      <c r="L5056" s="1010"/>
    </row>
    <row r="5057" spans="2:12" ht="15">
      <c r="B5057" s="1005"/>
      <c r="C5057" s="1006"/>
      <c r="D5057" s="1006"/>
      <c r="E5057" s="1006"/>
      <c r="F5057" s="1006"/>
      <c r="G5057" s="1006"/>
      <c r="H5057" s="1006"/>
      <c r="I5057" s="1006"/>
      <c r="J5057" s="1006"/>
      <c r="K5057" s="1006"/>
      <c r="L5057" s="1007"/>
    </row>
    <row r="5058" spans="2:12" ht="46.5" customHeight="1">
      <c r="B5058" s="642" t="s">
        <v>399</v>
      </c>
      <c r="C5058" s="25">
        <f>+'PROPUESTA ECONOMICA(Proponente)'!C639</f>
        <v>15.6</v>
      </c>
      <c r="D5058" s="12" t="str">
        <f>+VLOOKUP('MEMORIAS DE CANTIDADES'!C5058,'PROPUESTA ECONOMICA(Proponente)'!$C$379:$H$661,5,FALSE)</f>
        <v>Sardinel H=0.3, E=0.15 en concreto 3000 psi (incluye suministro, acero de refuerzo, formaleta y construcción).</v>
      </c>
      <c r="E5058" s="13"/>
      <c r="F5058" s="12"/>
      <c r="G5058" s="12"/>
      <c r="H5058" s="12"/>
      <c r="I5058" s="11" t="s">
        <v>400</v>
      </c>
      <c r="J5058" s="12" t="str">
        <f>+VLOOKUP('MEMORIAS DE CANTIDADES'!C5058,'PROPUESTA ECONOMICA(Proponente)'!$C$379:$H$661,6,FALSE)</f>
        <v>ml</v>
      </c>
      <c r="K5058" s="580" t="s">
        <v>401</v>
      </c>
      <c r="L5058" s="643">
        <f>SUM(L5059:L5069)</f>
        <v>236</v>
      </c>
    </row>
    <row r="5059" spans="2:12" ht="15">
      <c r="B5059" s="644"/>
      <c r="C5059" s="16"/>
      <c r="D5059" s="15"/>
      <c r="E5059" s="15"/>
      <c r="F5059" s="15"/>
      <c r="G5059" s="15"/>
      <c r="H5059" s="15"/>
      <c r="I5059" s="15"/>
      <c r="J5059" s="15"/>
      <c r="K5059" s="17"/>
      <c r="L5059" s="855"/>
    </row>
    <row r="5060" spans="2:12" ht="47.25">
      <c r="B5060" s="646" t="s">
        <v>402</v>
      </c>
      <c r="C5060" s="18" t="s">
        <v>403</v>
      </c>
      <c r="D5060" s="18" t="s">
        <v>404</v>
      </c>
      <c r="E5060" s="18" t="s">
        <v>405</v>
      </c>
      <c r="F5060" s="18" t="s">
        <v>406</v>
      </c>
      <c r="G5060" s="18" t="s">
        <v>407</v>
      </c>
      <c r="H5060" s="5" t="s">
        <v>408</v>
      </c>
      <c r="I5060" s="18" t="s">
        <v>409</v>
      </c>
      <c r="J5060" s="5" t="s">
        <v>410</v>
      </c>
      <c r="K5060" s="5" t="s">
        <v>411</v>
      </c>
      <c r="L5060" s="647" t="s">
        <v>412</v>
      </c>
    </row>
    <row r="5061" spans="2:12" ht="15">
      <c r="B5061" s="751" t="s">
        <v>569</v>
      </c>
      <c r="C5061" s="19"/>
      <c r="D5061" s="19"/>
      <c r="E5061" s="19"/>
      <c r="F5061" s="19">
        <f>91+28+98+19</f>
        <v>236</v>
      </c>
      <c r="G5061" s="20"/>
      <c r="H5061" s="68"/>
      <c r="I5061" s="17"/>
      <c r="J5061" s="28"/>
      <c r="K5061" s="17"/>
      <c r="L5061" s="649">
        <f>PRODUCT(C5061:K5061)</f>
        <v>236</v>
      </c>
    </row>
    <row r="5062" spans="2:12" ht="15">
      <c r="B5062" s="751"/>
      <c r="C5062" s="20"/>
      <c r="D5062" s="19"/>
      <c r="E5062" s="19"/>
      <c r="F5062" s="19"/>
      <c r="G5062" s="20"/>
      <c r="H5062" s="68"/>
      <c r="I5062" s="17"/>
      <c r="J5062" s="69"/>
      <c r="K5062" s="17"/>
      <c r="L5062" s="649"/>
    </row>
    <row r="5063" spans="2:12" ht="15">
      <c r="B5063" s="751"/>
      <c r="C5063" s="20"/>
      <c r="D5063" s="19"/>
      <c r="E5063" s="19"/>
      <c r="F5063" s="19"/>
      <c r="G5063" s="20"/>
      <c r="H5063" s="68"/>
      <c r="I5063" s="17"/>
      <c r="J5063" s="69"/>
      <c r="K5063" s="17"/>
      <c r="L5063" s="649"/>
    </row>
    <row r="5064" spans="2:12" ht="15">
      <c r="B5064" s="751"/>
      <c r="C5064" s="20"/>
      <c r="D5064" s="19"/>
      <c r="E5064" s="19"/>
      <c r="F5064" s="19"/>
      <c r="G5064" s="20"/>
      <c r="H5064" s="68"/>
      <c r="I5064" s="17"/>
      <c r="J5064" s="69"/>
      <c r="K5064" s="17"/>
      <c r="L5064" s="649"/>
    </row>
    <row r="5065" spans="2:12" ht="15">
      <c r="B5065" s="650"/>
      <c r="C5065" s="20"/>
      <c r="D5065" s="19"/>
      <c r="E5065" s="19"/>
      <c r="F5065" s="19"/>
      <c r="G5065" s="20"/>
      <c r="H5065" s="68"/>
      <c r="I5065" s="17"/>
      <c r="J5065" s="69"/>
      <c r="K5065" s="17"/>
      <c r="L5065" s="649"/>
    </row>
    <row r="5066" spans="2:12" ht="15">
      <c r="B5066" s="650"/>
      <c r="C5066" s="20"/>
      <c r="D5066" s="19"/>
      <c r="E5066" s="19"/>
      <c r="F5066" s="19"/>
      <c r="G5066" s="20"/>
      <c r="H5066" s="68"/>
      <c r="I5066" s="17"/>
      <c r="J5066" s="69"/>
      <c r="K5066" s="17"/>
      <c r="L5066" s="649"/>
    </row>
    <row r="5067" spans="2:12" ht="15">
      <c r="B5067" s="648"/>
      <c r="C5067" s="20"/>
      <c r="D5067" s="19"/>
      <c r="E5067" s="19"/>
      <c r="F5067" s="19"/>
      <c r="G5067" s="20"/>
      <c r="H5067" s="68"/>
      <c r="I5067" s="17"/>
      <c r="J5067" s="69"/>
      <c r="K5067" s="17"/>
      <c r="L5067" s="649"/>
    </row>
    <row r="5068" spans="2:12" ht="15">
      <c r="B5068" s="655"/>
      <c r="C5068" s="20"/>
      <c r="D5068" s="20"/>
      <c r="E5068" s="20"/>
      <c r="F5068" s="20"/>
      <c r="G5068" s="20"/>
      <c r="H5068" s="19"/>
      <c r="I5068" s="20"/>
      <c r="J5068" s="19"/>
      <c r="K5068" s="17"/>
      <c r="L5068" s="649"/>
    </row>
    <row r="5069" spans="2:12" ht="15.75">
      <c r="B5069" s="981"/>
      <c r="C5069" s="982"/>
      <c r="D5069" s="982"/>
      <c r="E5069" s="982"/>
      <c r="F5069" s="982"/>
      <c r="G5069" s="982"/>
      <c r="H5069" s="982"/>
      <c r="I5069" s="982"/>
      <c r="J5069" s="982"/>
      <c r="K5069" s="982"/>
      <c r="L5069" s="983"/>
    </row>
    <row r="5070" spans="2:12">
      <c r="B5070" s="651"/>
      <c r="L5070" s="652"/>
    </row>
    <row r="5071" spans="2:12" ht="15.6" customHeight="1">
      <c r="B5071" s="638" t="s">
        <v>398</v>
      </c>
      <c r="C5071" s="8">
        <v>15</v>
      </c>
      <c r="D5071" s="1008" t="s">
        <v>1036</v>
      </c>
      <c r="E5071" s="1009"/>
      <c r="F5071" s="1009"/>
      <c r="G5071" s="1009"/>
      <c r="H5071" s="1009"/>
      <c r="I5071" s="1009"/>
      <c r="J5071" s="1009"/>
      <c r="K5071" s="1009"/>
      <c r="L5071" s="1010"/>
    </row>
    <row r="5072" spans="2:12" ht="15">
      <c r="B5072" s="1005"/>
      <c r="C5072" s="1006"/>
      <c r="D5072" s="1006"/>
      <c r="E5072" s="1006"/>
      <c r="F5072" s="1006"/>
      <c r="G5072" s="1006"/>
      <c r="H5072" s="1006"/>
      <c r="I5072" s="1006"/>
      <c r="J5072" s="1006"/>
      <c r="K5072" s="1006"/>
      <c r="L5072" s="1007"/>
    </row>
    <row r="5073" spans="2:12" ht="47.25">
      <c r="B5073" s="642" t="s">
        <v>399</v>
      </c>
      <c r="C5073" s="25">
        <f>+'PROPUESTA ECONOMICA(Proponente)'!C640</f>
        <v>15.7</v>
      </c>
      <c r="D5073" s="12" t="str">
        <f>+VLOOKUP('MEMORIAS DE CANTIDADES'!C5073,'PROPUESTA ECONOMICA(Proponente)'!$C$379:$H$661,5,FALSE)</f>
        <v>Plantilla para piso e: 0,1 m (incluye malla electrosoldada, suministro, instalación de concreto 3000PSI y formaleta).</v>
      </c>
      <c r="E5073" s="13"/>
      <c r="F5073" s="12"/>
      <c r="G5073" s="12"/>
      <c r="H5073" s="12"/>
      <c r="I5073" s="11" t="s">
        <v>400</v>
      </c>
      <c r="J5073" s="12" t="str">
        <f>+VLOOKUP('MEMORIAS DE CANTIDADES'!C5073,'PROPUESTA ECONOMICA(Proponente)'!$C$379:$H$661,6,FALSE)</f>
        <v>m2</v>
      </c>
      <c r="K5073" s="11" t="s">
        <v>401</v>
      </c>
      <c r="L5073" s="643">
        <f>SUM(L5074:L5081)</f>
        <v>368</v>
      </c>
    </row>
    <row r="5074" spans="2:12" ht="15">
      <c r="B5074" s="644"/>
      <c r="C5074" s="16"/>
      <c r="D5074" s="15"/>
      <c r="E5074" s="15"/>
      <c r="F5074" s="15"/>
      <c r="G5074" s="15"/>
      <c r="H5074" s="15"/>
      <c r="I5074" s="15"/>
      <c r="J5074" s="15"/>
      <c r="K5074" s="17"/>
      <c r="L5074" s="645"/>
    </row>
    <row r="5075" spans="2:12" ht="47.25">
      <c r="B5075" s="646" t="s">
        <v>402</v>
      </c>
      <c r="C5075" s="18" t="s">
        <v>403</v>
      </c>
      <c r="D5075" s="18" t="s">
        <v>404</v>
      </c>
      <c r="E5075" s="18" t="s">
        <v>405</v>
      </c>
      <c r="F5075" s="18" t="s">
        <v>406</v>
      </c>
      <c r="G5075" s="18" t="s">
        <v>407</v>
      </c>
      <c r="H5075" s="5" t="s">
        <v>408</v>
      </c>
      <c r="I5075" s="18" t="s">
        <v>409</v>
      </c>
      <c r="J5075" s="5" t="s">
        <v>410</v>
      </c>
      <c r="K5075" s="5" t="s">
        <v>411</v>
      </c>
      <c r="L5075" s="647" t="s">
        <v>412</v>
      </c>
    </row>
    <row r="5076" spans="2:12" ht="15.75">
      <c r="B5076" s="759" t="s">
        <v>573</v>
      </c>
      <c r="C5076" s="19"/>
      <c r="D5076" s="19"/>
      <c r="E5076" s="19"/>
      <c r="F5076" s="19"/>
      <c r="G5076" s="20"/>
      <c r="H5076" s="68"/>
      <c r="I5076" s="17"/>
      <c r="J5076" s="28"/>
      <c r="K5076" s="17"/>
      <c r="L5076" s="649"/>
    </row>
    <row r="5077" spans="2:12" ht="15.75">
      <c r="B5077" s="759"/>
      <c r="C5077" s="19"/>
      <c r="D5077" s="19"/>
      <c r="E5077" s="19"/>
      <c r="F5077" s="19"/>
      <c r="G5077" s="20"/>
      <c r="H5077" s="68"/>
      <c r="I5077" s="17"/>
      <c r="J5077" s="28"/>
      <c r="K5077" s="17"/>
      <c r="L5077" s="649"/>
    </row>
    <row r="5078" spans="2:12" ht="15">
      <c r="B5078" s="648" t="s">
        <v>1070</v>
      </c>
      <c r="C5078" s="19">
        <v>134</v>
      </c>
      <c r="D5078" s="19"/>
      <c r="E5078" s="20"/>
      <c r="F5078" s="19"/>
      <c r="G5078" s="20"/>
      <c r="H5078" s="68"/>
      <c r="I5078" s="17"/>
      <c r="J5078" s="28"/>
      <c r="K5078" s="17"/>
      <c r="L5078" s="649">
        <f t="shared" ref="L5078:L5080" si="374">PRODUCT(C5078:K5078)</f>
        <v>134</v>
      </c>
    </row>
    <row r="5079" spans="2:12" ht="15">
      <c r="B5079" s="648" t="s">
        <v>1071</v>
      </c>
      <c r="C5079" s="19">
        <v>234</v>
      </c>
      <c r="D5079" s="19"/>
      <c r="E5079" s="20"/>
      <c r="F5079" s="19"/>
      <c r="G5079" s="20"/>
      <c r="H5079" s="68"/>
      <c r="I5079" s="17"/>
      <c r="J5079" s="28"/>
      <c r="K5079" s="17"/>
      <c r="L5079" s="649">
        <f t="shared" si="374"/>
        <v>234</v>
      </c>
    </row>
    <row r="5080" spans="2:12" ht="15">
      <c r="B5080" s="648"/>
      <c r="C5080" s="19"/>
      <c r="D5080" s="19"/>
      <c r="E5080" s="20"/>
      <c r="F5080" s="19"/>
      <c r="G5080" s="20"/>
      <c r="H5080" s="68"/>
      <c r="I5080" s="17"/>
      <c r="J5080" s="28"/>
      <c r="K5080" s="17"/>
      <c r="L5080" s="649">
        <f t="shared" si="374"/>
        <v>0</v>
      </c>
    </row>
    <row r="5081" spans="2:12" ht="15.75">
      <c r="B5081" s="759"/>
      <c r="C5081" s="19"/>
      <c r="D5081" s="19"/>
      <c r="E5081" s="19"/>
      <c r="F5081" s="19"/>
      <c r="G5081" s="20"/>
      <c r="H5081" s="68"/>
      <c r="I5081" s="17"/>
      <c r="J5081" s="28"/>
      <c r="K5081" s="17"/>
      <c r="L5081" s="649"/>
    </row>
    <row r="5082" spans="2:12">
      <c r="B5082" s="651"/>
      <c r="L5082" s="652"/>
    </row>
    <row r="5083" spans="2:12" ht="15.6" customHeight="1">
      <c r="B5083" s="638" t="s">
        <v>398</v>
      </c>
      <c r="C5083" s="8">
        <v>15</v>
      </c>
      <c r="D5083" s="1008" t="s">
        <v>1036</v>
      </c>
      <c r="E5083" s="1009"/>
      <c r="F5083" s="1009"/>
      <c r="G5083" s="1009"/>
      <c r="H5083" s="1009"/>
      <c r="I5083" s="1009"/>
      <c r="J5083" s="1009"/>
      <c r="K5083" s="1009"/>
      <c r="L5083" s="1010"/>
    </row>
    <row r="5084" spans="2:12" ht="15">
      <c r="B5084" s="1005"/>
      <c r="C5084" s="1006"/>
      <c r="D5084" s="1006"/>
      <c r="E5084" s="1006"/>
      <c r="F5084" s="1006"/>
      <c r="G5084" s="1006"/>
      <c r="H5084" s="1006"/>
      <c r="I5084" s="1006"/>
      <c r="J5084" s="1006"/>
      <c r="K5084" s="1006"/>
      <c r="L5084" s="1007"/>
    </row>
    <row r="5085" spans="2:12" ht="63">
      <c r="B5085" s="642" t="s">
        <v>399</v>
      </c>
      <c r="C5085" s="25">
        <f>+'PROPUESTA ECONOMICA(Proponente)'!C641</f>
        <v>15.8</v>
      </c>
      <c r="D5085" s="12" t="str">
        <f>+VLOOKUP('MEMORIAS DE CANTIDADES'!C5085,'PROPUESTA ECONOMICA(Proponente)'!$C$379:$H$661,5,FALSE)</f>
        <v>Piso en loseta prefabricadas A60 (400x200x60mm) o similar (incluye, Suministro e instalación y 4 cm de arena de nivelación y arena de sello).</v>
      </c>
      <c r="E5085" s="13"/>
      <c r="F5085" s="12"/>
      <c r="G5085" s="12"/>
      <c r="H5085" s="12"/>
      <c r="I5085" s="11" t="s">
        <v>400</v>
      </c>
      <c r="J5085" s="12" t="str">
        <f>+VLOOKUP('MEMORIAS DE CANTIDADES'!C5085,'PROPUESTA ECONOMICA(Proponente)'!$C$379:$H$661,6,FALSE)</f>
        <v>m2</v>
      </c>
      <c r="K5085" s="11" t="s">
        <v>401</v>
      </c>
      <c r="L5085" s="643">
        <f>SUM(L5086:L5093)</f>
        <v>8910.3000000000011</v>
      </c>
    </row>
    <row r="5086" spans="2:12" ht="15">
      <c r="B5086" s="644"/>
      <c r="C5086" s="16"/>
      <c r="D5086" s="15"/>
      <c r="E5086" s="15"/>
      <c r="F5086" s="15"/>
      <c r="G5086" s="15"/>
      <c r="H5086" s="15"/>
      <c r="I5086" s="15"/>
      <c r="J5086" s="15"/>
      <c r="K5086" s="17"/>
      <c r="L5086" s="645"/>
    </row>
    <row r="5087" spans="2:12" ht="47.25">
      <c r="B5087" s="646" t="s">
        <v>402</v>
      </c>
      <c r="C5087" s="18" t="s">
        <v>403</v>
      </c>
      <c r="D5087" s="18" t="s">
        <v>404</v>
      </c>
      <c r="E5087" s="18" t="s">
        <v>405</v>
      </c>
      <c r="F5087" s="18" t="s">
        <v>406</v>
      </c>
      <c r="G5087" s="18" t="s">
        <v>407</v>
      </c>
      <c r="H5087" s="5" t="s">
        <v>408</v>
      </c>
      <c r="I5087" s="18" t="s">
        <v>409</v>
      </c>
      <c r="J5087" s="5" t="s">
        <v>410</v>
      </c>
      <c r="K5087" s="5" t="s">
        <v>411</v>
      </c>
      <c r="L5087" s="647" t="s">
        <v>412</v>
      </c>
    </row>
    <row r="5088" spans="2:12" ht="31.5">
      <c r="B5088" s="759" t="s">
        <v>877</v>
      </c>
      <c r="C5088" s="224">
        <v>8486</v>
      </c>
      <c r="D5088" s="19"/>
      <c r="E5088" s="19"/>
      <c r="F5088" s="19"/>
      <c r="G5088" s="20"/>
      <c r="H5088" s="68"/>
      <c r="I5088" s="17"/>
      <c r="J5088" s="28">
        <v>1.05</v>
      </c>
      <c r="K5088" s="17"/>
      <c r="L5088" s="649">
        <f t="shared" ref="L5088" si="375">PRODUCT(C5088:K5088)</f>
        <v>8910.3000000000011</v>
      </c>
    </row>
    <row r="5089" spans="2:12" ht="15.75">
      <c r="B5089" s="759"/>
      <c r="C5089" s="19"/>
      <c r="D5089" s="19"/>
      <c r="E5089" s="19"/>
      <c r="F5089" s="19"/>
      <c r="G5089" s="20"/>
      <c r="H5089" s="68"/>
      <c r="I5089" s="17"/>
      <c r="J5089" s="28"/>
      <c r="K5089" s="17"/>
      <c r="L5089" s="649"/>
    </row>
    <row r="5090" spans="2:12" ht="15">
      <c r="B5090" s="648"/>
      <c r="C5090" s="19"/>
      <c r="D5090" s="19"/>
      <c r="E5090" s="19"/>
      <c r="F5090" s="19"/>
      <c r="G5090" s="20"/>
      <c r="H5090" s="68"/>
      <c r="I5090" s="17"/>
      <c r="J5090" s="28"/>
      <c r="K5090" s="17"/>
      <c r="L5090" s="649"/>
    </row>
    <row r="5091" spans="2:12" ht="15">
      <c r="B5091" s="648"/>
      <c r="C5091" s="19"/>
      <c r="D5091" s="19"/>
      <c r="E5091" s="19"/>
      <c r="F5091" s="19"/>
      <c r="G5091" s="20"/>
      <c r="H5091" s="68"/>
      <c r="I5091" s="17"/>
      <c r="J5091" s="28"/>
      <c r="K5091" s="17"/>
      <c r="L5091" s="649"/>
    </row>
    <row r="5092" spans="2:12" ht="15">
      <c r="B5092" s="650"/>
      <c r="C5092" s="20"/>
      <c r="D5092" s="20"/>
      <c r="E5092" s="20"/>
      <c r="F5092" s="20"/>
      <c r="G5092" s="20"/>
      <c r="H5092" s="19"/>
      <c r="I5092" s="20"/>
      <c r="J5092" s="19"/>
      <c r="K5092" s="17"/>
      <c r="L5092" s="649"/>
    </row>
    <row r="5093" spans="2:12" ht="15.75">
      <c r="B5093" s="981"/>
      <c r="C5093" s="982"/>
      <c r="D5093" s="982"/>
      <c r="E5093" s="982"/>
      <c r="F5093" s="982"/>
      <c r="G5093" s="982"/>
      <c r="H5093" s="982"/>
      <c r="I5093" s="982"/>
      <c r="J5093" s="982"/>
      <c r="K5093" s="982"/>
      <c r="L5093" s="983"/>
    </row>
    <row r="5094" spans="2:12" ht="46.9" customHeight="1">
      <c r="B5094" s="651"/>
      <c r="L5094" s="652"/>
    </row>
    <row r="5095" spans="2:12" ht="15.6" customHeight="1">
      <c r="B5095" s="638" t="s">
        <v>398</v>
      </c>
      <c r="C5095" s="8">
        <v>15</v>
      </c>
      <c r="D5095" s="1008" t="s">
        <v>1036</v>
      </c>
      <c r="E5095" s="1009"/>
      <c r="F5095" s="1009"/>
      <c r="G5095" s="1009"/>
      <c r="H5095" s="1009"/>
      <c r="I5095" s="1009"/>
      <c r="J5095" s="1009"/>
      <c r="K5095" s="1009"/>
      <c r="L5095" s="1010"/>
    </row>
    <row r="5096" spans="2:12" ht="15">
      <c r="B5096" s="1005"/>
      <c r="C5096" s="1006"/>
      <c r="D5096" s="1006"/>
      <c r="E5096" s="1006"/>
      <c r="F5096" s="1006"/>
      <c r="G5096" s="1006"/>
      <c r="H5096" s="1006"/>
      <c r="I5096" s="1006"/>
      <c r="J5096" s="1006"/>
      <c r="K5096" s="1006"/>
      <c r="L5096" s="1007"/>
    </row>
    <row r="5097" spans="2:12" ht="31.5">
      <c r="B5097" s="642" t="s">
        <v>399</v>
      </c>
      <c r="C5097" s="25">
        <f>+'PROPUESTA ECONOMICA(Proponente)'!C642</f>
        <v>15.9</v>
      </c>
      <c r="D5097" s="12" t="str">
        <f>+VLOOKUP('MEMORIAS DE CANTIDADES'!C5097,'PROPUESTA ECONOMICA(Proponente)'!$C$379:$H$661,5,FALSE)</f>
        <v>Suministro e instalación de Gramoquin - Ecológico.</v>
      </c>
      <c r="E5097" s="13"/>
      <c r="F5097" s="12"/>
      <c r="G5097" s="12"/>
      <c r="H5097" s="12"/>
      <c r="I5097" s="11" t="s">
        <v>400</v>
      </c>
      <c r="J5097" s="12" t="str">
        <f>+VLOOKUP('MEMORIAS DE CANTIDADES'!C5097,'PROPUESTA ECONOMICA(Proponente)'!$C$379:$H$661,6,FALSE)</f>
        <v>m2</v>
      </c>
      <c r="K5097" s="11" t="s">
        <v>401</v>
      </c>
      <c r="L5097" s="643">
        <f>SUM(L5098:L5104)</f>
        <v>725</v>
      </c>
    </row>
    <row r="5098" spans="2:12" ht="15">
      <c r="B5098" s="644"/>
      <c r="C5098" s="16"/>
      <c r="D5098" s="15"/>
      <c r="E5098" s="15"/>
      <c r="F5098" s="15"/>
      <c r="G5098" s="15"/>
      <c r="H5098" s="15"/>
      <c r="I5098" s="15"/>
      <c r="J5098" s="15"/>
      <c r="K5098" s="17"/>
      <c r="L5098" s="645"/>
    </row>
    <row r="5099" spans="2:12" ht="47.25">
      <c r="B5099" s="646" t="s">
        <v>402</v>
      </c>
      <c r="C5099" s="18" t="s">
        <v>403</v>
      </c>
      <c r="D5099" s="18" t="s">
        <v>404</v>
      </c>
      <c r="E5099" s="18" t="s">
        <v>405</v>
      </c>
      <c r="F5099" s="18" t="s">
        <v>406</v>
      </c>
      <c r="G5099" s="18" t="s">
        <v>407</v>
      </c>
      <c r="H5099" s="5" t="s">
        <v>408</v>
      </c>
      <c r="I5099" s="18" t="s">
        <v>409</v>
      </c>
      <c r="J5099" s="5" t="s">
        <v>410</v>
      </c>
      <c r="K5099" s="5" t="s">
        <v>411</v>
      </c>
      <c r="L5099" s="647" t="s">
        <v>412</v>
      </c>
    </row>
    <row r="5100" spans="2:12" ht="15">
      <c r="B5100" s="648"/>
      <c r="C5100" s="19"/>
      <c r="D5100" s="19"/>
      <c r="E5100" s="19"/>
      <c r="F5100" s="19"/>
      <c r="G5100" s="20"/>
      <c r="H5100" s="68"/>
      <c r="I5100" s="17"/>
      <c r="J5100" s="28"/>
      <c r="K5100" s="17"/>
      <c r="L5100" s="649">
        <f t="shared" ref="L5100:L5101" si="376">PRODUCT(C5100:K5100)</f>
        <v>0</v>
      </c>
    </row>
    <row r="5101" spans="2:12" ht="15">
      <c r="B5101" s="648" t="s">
        <v>1109</v>
      </c>
      <c r="C5101" s="19">
        <v>725</v>
      </c>
      <c r="D5101" s="19"/>
      <c r="E5101" s="19"/>
      <c r="F5101" s="19"/>
      <c r="G5101" s="20"/>
      <c r="H5101" s="68"/>
      <c r="I5101" s="17"/>
      <c r="J5101" s="28"/>
      <c r="K5101" s="17"/>
      <c r="L5101" s="649">
        <f t="shared" si="376"/>
        <v>725</v>
      </c>
    </row>
    <row r="5102" spans="2:12" ht="15.75">
      <c r="B5102" s="648"/>
      <c r="C5102" s="19"/>
      <c r="D5102" s="18"/>
      <c r="E5102" s="19"/>
      <c r="F5102" s="18"/>
      <c r="G5102" s="18"/>
      <c r="H5102" s="5"/>
      <c r="I5102" s="18"/>
      <c r="J5102" s="5"/>
      <c r="K5102" s="5"/>
      <c r="L5102" s="649">
        <f>PRODUCT(C5102:K5102)</f>
        <v>0</v>
      </c>
    </row>
    <row r="5103" spans="2:12" ht="15">
      <c r="B5103" s="648"/>
      <c r="C5103" s="175"/>
      <c r="D5103" s="175"/>
      <c r="E5103" s="175"/>
      <c r="F5103" s="175"/>
      <c r="G5103" s="176"/>
      <c r="H5103" s="177"/>
      <c r="I5103" s="167"/>
      <c r="J5103" s="178"/>
      <c r="K5103" s="167"/>
      <c r="L5103" s="677"/>
    </row>
    <row r="5104" spans="2:12" ht="15.75">
      <c r="B5104" s="981"/>
      <c r="C5104" s="982"/>
      <c r="D5104" s="982"/>
      <c r="E5104" s="982"/>
      <c r="F5104" s="982"/>
      <c r="G5104" s="982"/>
      <c r="H5104" s="982"/>
      <c r="I5104" s="982"/>
      <c r="J5104" s="982"/>
      <c r="K5104" s="982"/>
      <c r="L5104" s="983"/>
    </row>
    <row r="5105" spans="2:12">
      <c r="B5105" s="651"/>
      <c r="L5105" s="652"/>
    </row>
    <row r="5106" spans="2:12" ht="15.6" customHeight="1">
      <c r="B5106" s="638" t="s">
        <v>398</v>
      </c>
      <c r="C5106" s="8">
        <v>15</v>
      </c>
      <c r="D5106" s="1008" t="s">
        <v>1036</v>
      </c>
      <c r="E5106" s="1009"/>
      <c r="F5106" s="1009"/>
      <c r="G5106" s="1009"/>
      <c r="H5106" s="1009"/>
      <c r="I5106" s="1009"/>
      <c r="J5106" s="1009"/>
      <c r="K5106" s="1009"/>
      <c r="L5106" s="1010"/>
    </row>
    <row r="5107" spans="2:12" ht="15">
      <c r="B5107" s="1005"/>
      <c r="C5107" s="1006"/>
      <c r="D5107" s="1006"/>
      <c r="E5107" s="1006"/>
      <c r="F5107" s="1006"/>
      <c r="G5107" s="1006"/>
      <c r="H5107" s="1006"/>
      <c r="I5107" s="1006"/>
      <c r="J5107" s="1006"/>
      <c r="K5107" s="1006"/>
      <c r="L5107" s="1007"/>
    </row>
    <row r="5108" spans="2:12" ht="31.5">
      <c r="B5108" s="642" t="s">
        <v>399</v>
      </c>
      <c r="C5108" s="25" t="str">
        <f>+'PROPUESTA ECONOMICA(Proponente)'!C643</f>
        <v>15.10</v>
      </c>
      <c r="D5108" s="12" t="str">
        <f>+VLOOKUP('MEMORIAS DE CANTIDADES'!C5108,'PROPUESTA ECONOMICA(Proponente)'!$C$379:$H$661,5,FALSE)</f>
        <v>Sendero en concreto color e=0.10 m 3000 psi (Incluye  mezcla, formaleta, fundida y curado)</v>
      </c>
      <c r="E5108" s="13"/>
      <c r="F5108" s="12"/>
      <c r="G5108" s="12"/>
      <c r="H5108" s="12"/>
      <c r="I5108" s="11" t="s">
        <v>400</v>
      </c>
      <c r="J5108" s="12" t="str">
        <f>+VLOOKUP('MEMORIAS DE CANTIDADES'!C5108,'PROPUESTA ECONOMICA(Proponente)'!$C$379:$H$661,6,FALSE)</f>
        <v>m2</v>
      </c>
      <c r="K5108" s="11" t="s">
        <v>401</v>
      </c>
      <c r="L5108" s="643">
        <f>SUM(L5109:L5118)</f>
        <v>1392.364</v>
      </c>
    </row>
    <row r="5109" spans="2:12" ht="15">
      <c r="B5109" s="644"/>
      <c r="C5109" s="16"/>
      <c r="D5109" s="15"/>
      <c r="E5109" s="15"/>
      <c r="F5109" s="15"/>
      <c r="G5109" s="15"/>
      <c r="H5109" s="15"/>
      <c r="I5109" s="15"/>
      <c r="J5109" s="15"/>
      <c r="K5109" s="17"/>
      <c r="L5109" s="645"/>
    </row>
    <row r="5110" spans="2:12" ht="47.25">
      <c r="B5110" s="646" t="s">
        <v>402</v>
      </c>
      <c r="C5110" s="18" t="s">
        <v>403</v>
      </c>
      <c r="D5110" s="18" t="s">
        <v>404</v>
      </c>
      <c r="E5110" s="18" t="s">
        <v>405</v>
      </c>
      <c r="F5110" s="18" t="s">
        <v>406</v>
      </c>
      <c r="G5110" s="18" t="s">
        <v>407</v>
      </c>
      <c r="H5110" s="5" t="s">
        <v>408</v>
      </c>
      <c r="I5110" s="18" t="s">
        <v>409</v>
      </c>
      <c r="J5110" s="5" t="s">
        <v>410</v>
      </c>
      <c r="K5110" s="5" t="s">
        <v>411</v>
      </c>
      <c r="L5110" s="647" t="s">
        <v>412</v>
      </c>
    </row>
    <row r="5111" spans="2:12" ht="15">
      <c r="B5111" s="648" t="s">
        <v>565</v>
      </c>
      <c r="C5111" s="19"/>
      <c r="D5111" s="19"/>
      <c r="E5111" s="19"/>
      <c r="F5111" s="19">
        <v>565</v>
      </c>
      <c r="G5111" s="19"/>
      <c r="H5111" s="462"/>
      <c r="I5111" s="17">
        <v>1.2</v>
      </c>
      <c r="J5111" s="28"/>
      <c r="K5111" s="17"/>
      <c r="L5111" s="649">
        <f>PRODUCT(C5111:K5111)</f>
        <v>678</v>
      </c>
    </row>
    <row r="5112" spans="2:12" ht="15.75">
      <c r="B5112" s="759" t="s">
        <v>1068</v>
      </c>
      <c r="C5112" s="20">
        <v>1.25</v>
      </c>
      <c r="D5112" s="19"/>
      <c r="E5112" s="19"/>
      <c r="F5112" s="19"/>
      <c r="G5112" s="19"/>
      <c r="H5112" s="462"/>
      <c r="I5112" s="17">
        <v>80</v>
      </c>
      <c r="J5112" s="28"/>
      <c r="K5112" s="17"/>
      <c r="L5112" s="649">
        <f>PRODUCT(C5112:K5112)</f>
        <v>100</v>
      </c>
    </row>
    <row r="5113" spans="2:12" ht="15.75">
      <c r="B5113" s="806" t="s">
        <v>1069</v>
      </c>
      <c r="C5113" s="20">
        <v>1.25</v>
      </c>
      <c r="D5113" s="19"/>
      <c r="E5113" s="19"/>
      <c r="F5113" s="19"/>
      <c r="G5113" s="19"/>
      <c r="H5113" s="462"/>
      <c r="I5113" s="17">
        <v>102</v>
      </c>
      <c r="J5113" s="28"/>
      <c r="K5113" s="17"/>
      <c r="L5113" s="649">
        <f>PRODUCT(C5113:K5113)</f>
        <v>127.5</v>
      </c>
    </row>
    <row r="5114" spans="2:12" ht="15.75">
      <c r="B5114" s="759" t="s">
        <v>870</v>
      </c>
      <c r="C5114" s="20"/>
      <c r="D5114" s="19">
        <v>1.6</v>
      </c>
      <c r="E5114" s="19"/>
      <c r="F5114" s="19">
        <f>78+8+2.25+2+2.34+1.4*3+3.5+1.5</f>
        <v>101.79</v>
      </c>
      <c r="G5114" s="19"/>
      <c r="H5114" s="462"/>
      <c r="I5114" s="17"/>
      <c r="J5114" s="28"/>
      <c r="K5114" s="17"/>
      <c r="L5114" s="649">
        <f>PRODUCT(C5114:K5114)</f>
        <v>162.86400000000003</v>
      </c>
    </row>
    <row r="5115" spans="2:12" ht="15.75">
      <c r="B5115" s="759"/>
      <c r="C5115" s="20"/>
      <c r="D5115" s="19"/>
      <c r="E5115" s="19"/>
      <c r="F5115" s="19"/>
      <c r="G5115" s="19"/>
      <c r="H5115" s="462"/>
      <c r="I5115" s="17"/>
      <c r="J5115" s="28"/>
      <c r="K5115" s="17"/>
      <c r="L5115" s="649"/>
    </row>
    <row r="5116" spans="2:12" ht="15">
      <c r="B5116" s="648" t="s">
        <v>566</v>
      </c>
      <c r="C5116" s="20">
        <v>162</v>
      </c>
      <c r="D5116" s="19"/>
      <c r="E5116" s="19"/>
      <c r="F5116" s="19"/>
      <c r="G5116" s="19"/>
      <c r="H5116" s="462"/>
      <c r="I5116" s="17">
        <v>2</v>
      </c>
      <c r="J5116" s="28"/>
      <c r="K5116" s="17"/>
      <c r="L5116" s="649">
        <f>PRODUCT(C5116:K5116)</f>
        <v>324</v>
      </c>
    </row>
    <row r="5117" spans="2:12" ht="15.75">
      <c r="B5117" s="646"/>
      <c r="C5117" s="18"/>
      <c r="D5117" s="18"/>
      <c r="E5117" s="18"/>
      <c r="F5117" s="18"/>
      <c r="G5117" s="18"/>
      <c r="H5117" s="5"/>
      <c r="I5117" s="18"/>
      <c r="J5117" s="5"/>
      <c r="K5117" s="5"/>
      <c r="L5117" s="647"/>
    </row>
    <row r="5118" spans="2:12" ht="15.75">
      <c r="B5118" s="981"/>
      <c r="C5118" s="982"/>
      <c r="D5118" s="982"/>
      <c r="E5118" s="982"/>
      <c r="F5118" s="982"/>
      <c r="G5118" s="982"/>
      <c r="H5118" s="982"/>
      <c r="I5118" s="982"/>
      <c r="J5118" s="982"/>
      <c r="K5118" s="982"/>
      <c r="L5118" s="983"/>
    </row>
    <row r="5119" spans="2:12">
      <c r="B5119" s="651"/>
      <c r="L5119" s="652"/>
    </row>
    <row r="5120" spans="2:12" ht="15.6" customHeight="1">
      <c r="B5120" s="638" t="s">
        <v>398</v>
      </c>
      <c r="C5120" s="8">
        <v>15</v>
      </c>
      <c r="D5120" s="1008" t="s">
        <v>1036</v>
      </c>
      <c r="E5120" s="1009"/>
      <c r="F5120" s="1009"/>
      <c r="G5120" s="1009"/>
      <c r="H5120" s="1009"/>
      <c r="I5120" s="1009"/>
      <c r="J5120" s="1009"/>
      <c r="K5120" s="1009"/>
      <c r="L5120" s="1010"/>
    </row>
    <row r="5121" spans="2:12" ht="15">
      <c r="B5121" s="1005"/>
      <c r="C5121" s="1006"/>
      <c r="D5121" s="1006"/>
      <c r="E5121" s="1006"/>
      <c r="F5121" s="1006"/>
      <c r="G5121" s="1006"/>
      <c r="H5121" s="1006"/>
      <c r="I5121" s="1006"/>
      <c r="J5121" s="1006"/>
      <c r="K5121" s="1006"/>
      <c r="L5121" s="1007"/>
    </row>
    <row r="5122" spans="2:12" ht="31.5">
      <c r="B5122" s="642" t="s">
        <v>399</v>
      </c>
      <c r="C5122" s="8">
        <f>+'PROPUESTA ECONOMICA(Proponente)'!C644</f>
        <v>15.11</v>
      </c>
      <c r="D5122" s="12" t="str">
        <f>+VLOOKUP('MEMORIAS DE CANTIDADES'!C5122,'PROPUESTA ECONOMICA(Proponente)'!$C$379:$H$661,5,FALSE)</f>
        <v>Zonas Verdes (Incluye suministro de grama natural y tierra negra).</v>
      </c>
      <c r="E5122" s="13"/>
      <c r="F5122" s="12"/>
      <c r="G5122" s="12"/>
      <c r="H5122" s="12"/>
      <c r="I5122" s="11" t="s">
        <v>400</v>
      </c>
      <c r="J5122" s="12" t="str">
        <f>+VLOOKUP('MEMORIAS DE CANTIDADES'!C5122,'PROPUESTA ECONOMICA(Proponente)'!$C$379:$H$661,6,FALSE)</f>
        <v>m2</v>
      </c>
      <c r="K5122" s="11" t="s">
        <v>401</v>
      </c>
      <c r="L5122" s="643">
        <f>SUM(L5123:L5129)</f>
        <v>4835</v>
      </c>
    </row>
    <row r="5123" spans="2:12" ht="15">
      <c r="B5123" s="644"/>
      <c r="C5123" s="16"/>
      <c r="D5123" s="15"/>
      <c r="E5123" s="15"/>
      <c r="F5123" s="15"/>
      <c r="G5123" s="15"/>
      <c r="H5123" s="15"/>
      <c r="I5123" s="15"/>
      <c r="J5123" s="15"/>
      <c r="K5123" s="17"/>
      <c r="L5123" s="645"/>
    </row>
    <row r="5124" spans="2:12" ht="47.25">
      <c r="B5124" s="646" t="s">
        <v>402</v>
      </c>
      <c r="C5124" s="18" t="s">
        <v>403</v>
      </c>
      <c r="D5124" s="18" t="s">
        <v>404</v>
      </c>
      <c r="E5124" s="18" t="s">
        <v>405</v>
      </c>
      <c r="F5124" s="18" t="s">
        <v>406</v>
      </c>
      <c r="G5124" s="18" t="s">
        <v>407</v>
      </c>
      <c r="H5124" s="5" t="s">
        <v>408</v>
      </c>
      <c r="I5124" s="18" t="s">
        <v>409</v>
      </c>
      <c r="J5124" s="5" t="s">
        <v>410</v>
      </c>
      <c r="K5124" s="5" t="s">
        <v>411</v>
      </c>
      <c r="L5124" s="647" t="s">
        <v>412</v>
      </c>
    </row>
    <row r="5125" spans="2:12" ht="15.75">
      <c r="B5125" s="772" t="s">
        <v>574</v>
      </c>
      <c r="C5125" s="19">
        <v>4835</v>
      </c>
      <c r="D5125" s="19"/>
      <c r="E5125" s="19"/>
      <c r="F5125" s="19"/>
      <c r="G5125" s="20"/>
      <c r="H5125" s="68"/>
      <c r="I5125" s="17"/>
      <c r="J5125" s="28"/>
      <c r="K5125" s="17"/>
      <c r="L5125" s="649">
        <f>PRODUCT(C5125:K5125)</f>
        <v>4835</v>
      </c>
    </row>
    <row r="5126" spans="2:12" ht="15.75">
      <c r="B5126" s="772"/>
      <c r="C5126" s="19"/>
      <c r="D5126" s="19"/>
      <c r="E5126" s="19"/>
      <c r="F5126" s="19"/>
      <c r="G5126" s="20"/>
      <c r="H5126" s="68"/>
      <c r="I5126" s="17"/>
      <c r="J5126" s="28"/>
      <c r="K5126" s="17"/>
      <c r="L5126" s="649"/>
    </row>
    <row r="5127" spans="2:12" ht="15.75">
      <c r="B5127" s="772"/>
      <c r="C5127" s="19"/>
      <c r="D5127" s="19"/>
      <c r="E5127" s="19"/>
      <c r="F5127" s="19"/>
      <c r="G5127" s="20"/>
      <c r="H5127" s="68"/>
      <c r="I5127" s="17"/>
      <c r="J5127" s="28"/>
      <c r="K5127" s="17"/>
      <c r="L5127" s="649"/>
    </row>
    <row r="5128" spans="2:12" ht="15.75">
      <c r="B5128" s="772"/>
      <c r="C5128" s="19"/>
      <c r="D5128" s="19"/>
      <c r="E5128" s="19"/>
      <c r="F5128" s="19"/>
      <c r="G5128" s="20"/>
      <c r="H5128" s="68"/>
      <c r="I5128" s="17"/>
      <c r="J5128" s="28"/>
      <c r="K5128" s="17"/>
      <c r="L5128" s="649"/>
    </row>
    <row r="5129" spans="2:12" ht="15.75">
      <c r="B5129" s="981"/>
      <c r="C5129" s="982"/>
      <c r="D5129" s="982"/>
      <c r="E5129" s="982"/>
      <c r="F5129" s="982"/>
      <c r="G5129" s="982"/>
      <c r="H5129" s="982"/>
      <c r="I5129" s="982"/>
      <c r="J5129" s="982"/>
      <c r="K5129" s="982"/>
      <c r="L5129" s="983"/>
    </row>
    <row r="5130" spans="2:12">
      <c r="B5130" s="651"/>
      <c r="L5130" s="652"/>
    </row>
    <row r="5131" spans="2:12" ht="15.6" customHeight="1">
      <c r="B5131" s="638" t="s">
        <v>398</v>
      </c>
      <c r="C5131" s="8">
        <v>15</v>
      </c>
      <c r="D5131" s="1008" t="s">
        <v>1036</v>
      </c>
      <c r="E5131" s="1009"/>
      <c r="F5131" s="1009"/>
      <c r="G5131" s="1009"/>
      <c r="H5131" s="1009"/>
      <c r="I5131" s="1009"/>
      <c r="J5131" s="1009"/>
      <c r="K5131" s="1009"/>
      <c r="L5131" s="1010"/>
    </row>
    <row r="5132" spans="2:12" ht="15">
      <c r="B5132" s="1005"/>
      <c r="C5132" s="1006"/>
      <c r="D5132" s="1006"/>
      <c r="E5132" s="1006"/>
      <c r="F5132" s="1006"/>
      <c r="G5132" s="1006"/>
      <c r="H5132" s="1006"/>
      <c r="I5132" s="1006"/>
      <c r="J5132" s="1006"/>
      <c r="K5132" s="1006"/>
      <c r="L5132" s="1007"/>
    </row>
    <row r="5133" spans="2:12" ht="31.5">
      <c r="B5133" s="642" t="s">
        <v>399</v>
      </c>
      <c r="C5133" s="8">
        <f>+'PROPUESTA ECONOMICA(Proponente)'!C645</f>
        <v>15.12</v>
      </c>
      <c r="D5133" s="12" t="str">
        <f>+VLOOKUP('MEMORIAS DE CANTIDADES'!C5133,'PROPUESTA ECONOMICA(Proponente)'!$C$379:$H$661,5,FALSE)</f>
        <v>Siembra de durantas o similar, (incluye tierra negra y cascarilla siembre).</v>
      </c>
      <c r="E5133" s="13"/>
      <c r="F5133" s="12"/>
      <c r="G5133" s="12"/>
      <c r="H5133" s="12"/>
      <c r="I5133" s="11" t="s">
        <v>400</v>
      </c>
      <c r="J5133" s="12" t="str">
        <f>+VLOOKUP('MEMORIAS DE CANTIDADES'!C5133,'PROPUESTA ECONOMICA(Proponente)'!$C$379:$H$661,6,FALSE)</f>
        <v>un</v>
      </c>
      <c r="K5133" s="11" t="s">
        <v>401</v>
      </c>
      <c r="L5133" s="643">
        <f>SUM(L5134:L5140)</f>
        <v>15724.94</v>
      </c>
    </row>
    <row r="5134" spans="2:12" ht="15">
      <c r="B5134" s="644"/>
      <c r="C5134" s="16"/>
      <c r="D5134" s="15"/>
      <c r="E5134" s="15"/>
      <c r="F5134" s="15"/>
      <c r="G5134" s="15"/>
      <c r="H5134" s="15"/>
      <c r="I5134" s="15"/>
      <c r="J5134" s="15"/>
      <c r="K5134" s="17"/>
      <c r="L5134" s="645"/>
    </row>
    <row r="5135" spans="2:12" ht="47.25">
      <c r="B5135" s="646" t="s">
        <v>402</v>
      </c>
      <c r="C5135" s="18" t="s">
        <v>403</v>
      </c>
      <c r="D5135" s="18" t="s">
        <v>404</v>
      </c>
      <c r="E5135" s="18" t="s">
        <v>405</v>
      </c>
      <c r="F5135" s="18" t="s">
        <v>406</v>
      </c>
      <c r="G5135" s="18" t="s">
        <v>407</v>
      </c>
      <c r="H5135" s="5" t="s">
        <v>408</v>
      </c>
      <c r="I5135" s="18" t="s">
        <v>409</v>
      </c>
      <c r="J5135" s="5" t="s">
        <v>410</v>
      </c>
      <c r="K5135" s="5" t="s">
        <v>411</v>
      </c>
      <c r="L5135" s="647" t="s">
        <v>412</v>
      </c>
    </row>
    <row r="5136" spans="2:12" ht="15.75">
      <c r="B5136" s="772"/>
      <c r="C5136" s="19"/>
      <c r="D5136" s="19"/>
      <c r="E5136" s="19"/>
      <c r="F5136" s="19"/>
      <c r="G5136" s="20"/>
      <c r="H5136" s="68"/>
      <c r="I5136" s="17">
        <v>15724.94</v>
      </c>
      <c r="J5136" s="28"/>
      <c r="K5136" s="17"/>
      <c r="L5136" s="649">
        <f>PRODUCT(C5136:K5136)</f>
        <v>15724.94</v>
      </c>
    </row>
    <row r="5137" spans="2:12" ht="15.75">
      <c r="B5137" s="772"/>
      <c r="C5137" s="19"/>
      <c r="D5137" s="19"/>
      <c r="E5137" s="19"/>
      <c r="F5137" s="19"/>
      <c r="G5137" s="20"/>
      <c r="H5137" s="68"/>
      <c r="I5137" s="17"/>
      <c r="J5137" s="28"/>
      <c r="K5137" s="17"/>
      <c r="L5137" s="649"/>
    </row>
    <row r="5138" spans="2:12" ht="15.75">
      <c r="B5138" s="772"/>
      <c r="C5138" s="19"/>
      <c r="D5138" s="19"/>
      <c r="E5138" s="19"/>
      <c r="F5138" s="19"/>
      <c r="G5138" s="20"/>
      <c r="H5138" s="68"/>
      <c r="I5138" s="17"/>
      <c r="J5138" s="28"/>
      <c r="K5138" s="17"/>
      <c r="L5138" s="649"/>
    </row>
    <row r="5139" spans="2:12" ht="15.75">
      <c r="B5139" s="772"/>
      <c r="C5139" s="19"/>
      <c r="D5139" s="19"/>
      <c r="E5139" s="19"/>
      <c r="F5139" s="19"/>
      <c r="G5139" s="20"/>
      <c r="H5139" s="68"/>
      <c r="I5139" s="17"/>
      <c r="J5139" s="28"/>
      <c r="K5139" s="17"/>
      <c r="L5139" s="649"/>
    </row>
    <row r="5140" spans="2:12" ht="15.75">
      <c r="B5140" s="981"/>
      <c r="C5140" s="982"/>
      <c r="D5140" s="982"/>
      <c r="E5140" s="982"/>
      <c r="F5140" s="982"/>
      <c r="G5140" s="982"/>
      <c r="H5140" s="982"/>
      <c r="I5140" s="982"/>
      <c r="J5140" s="982"/>
      <c r="K5140" s="982"/>
      <c r="L5140" s="983"/>
    </row>
    <row r="5141" spans="2:12">
      <c r="B5141" s="651"/>
      <c r="L5141" s="652"/>
    </row>
    <row r="5142" spans="2:12" ht="15.6" customHeight="1">
      <c r="B5142" s="638" t="s">
        <v>398</v>
      </c>
      <c r="C5142" s="8">
        <v>15</v>
      </c>
      <c r="D5142" s="1008" t="s">
        <v>1036</v>
      </c>
      <c r="E5142" s="1009"/>
      <c r="F5142" s="1009"/>
      <c r="G5142" s="1009"/>
      <c r="H5142" s="1009"/>
      <c r="I5142" s="1009"/>
      <c r="J5142" s="1009"/>
      <c r="K5142" s="1009"/>
      <c r="L5142" s="1010"/>
    </row>
    <row r="5143" spans="2:12" ht="15">
      <c r="B5143" s="1005"/>
      <c r="C5143" s="1006"/>
      <c r="D5143" s="1006"/>
      <c r="E5143" s="1006"/>
      <c r="F5143" s="1006"/>
      <c r="G5143" s="1006"/>
      <c r="H5143" s="1006"/>
      <c r="I5143" s="1006"/>
      <c r="J5143" s="1006"/>
      <c r="K5143" s="1006"/>
      <c r="L5143" s="1007"/>
    </row>
    <row r="5144" spans="2:12" ht="47.25">
      <c r="B5144" s="642" t="s">
        <v>399</v>
      </c>
      <c r="C5144" s="8">
        <f>+'PROPUESTA ECONOMICA(Proponente)'!C646</f>
        <v>15.13</v>
      </c>
      <c r="D5144" s="12" t="str">
        <f>+VLOOKUP('MEMORIAS DE CANTIDADES'!C5144,'PROPUESTA ECONOMICA(Proponente)'!$C$379:$H$661,5,FALSE)</f>
        <v>Suministro y siembra de arboles  3m de altura Pomarrosa o similar (incluye suministro de tierra negra)</v>
      </c>
      <c r="E5144" s="13"/>
      <c r="F5144" s="12"/>
      <c r="G5144" s="12"/>
      <c r="H5144" s="12"/>
      <c r="I5144" s="11" t="s">
        <v>400</v>
      </c>
      <c r="J5144" s="12" t="str">
        <f>+VLOOKUP('MEMORIAS DE CANTIDADES'!C5144,'PROPUESTA ECONOMICA(Proponente)'!$C$379:$H$661,6,FALSE)</f>
        <v>un</v>
      </c>
      <c r="K5144" s="11" t="s">
        <v>401</v>
      </c>
      <c r="L5144" s="643">
        <f>SUM(L5145:L5151)</f>
        <v>154</v>
      </c>
    </row>
    <row r="5145" spans="2:12" ht="15">
      <c r="B5145" s="644"/>
      <c r="C5145" s="16"/>
      <c r="D5145" s="15"/>
      <c r="E5145" s="15"/>
      <c r="F5145" s="15"/>
      <c r="G5145" s="15"/>
      <c r="H5145" s="15"/>
      <c r="I5145" s="15"/>
      <c r="J5145" s="15"/>
      <c r="K5145" s="17"/>
      <c r="L5145" s="645"/>
    </row>
    <row r="5146" spans="2:12" ht="47.25">
      <c r="B5146" s="646" t="s">
        <v>402</v>
      </c>
      <c r="C5146" s="18" t="s">
        <v>403</v>
      </c>
      <c r="D5146" s="18" t="s">
        <v>404</v>
      </c>
      <c r="E5146" s="18" t="s">
        <v>405</v>
      </c>
      <c r="F5146" s="18" t="s">
        <v>406</v>
      </c>
      <c r="G5146" s="18" t="s">
        <v>407</v>
      </c>
      <c r="H5146" s="5" t="s">
        <v>408</v>
      </c>
      <c r="I5146" s="18" t="s">
        <v>409</v>
      </c>
      <c r="J5146" s="5" t="s">
        <v>410</v>
      </c>
      <c r="K5146" s="5" t="s">
        <v>411</v>
      </c>
      <c r="L5146" s="647" t="s">
        <v>412</v>
      </c>
    </row>
    <row r="5147" spans="2:12" ht="15.75">
      <c r="B5147" s="772"/>
      <c r="C5147" s="19"/>
      <c r="D5147" s="19"/>
      <c r="E5147" s="19"/>
      <c r="F5147" s="19"/>
      <c r="G5147" s="20"/>
      <c r="H5147" s="68"/>
      <c r="I5147" s="17">
        <v>154</v>
      </c>
      <c r="J5147" s="28"/>
      <c r="K5147" s="17"/>
      <c r="L5147" s="649">
        <f>PRODUCT(C5147:K5147)</f>
        <v>154</v>
      </c>
    </row>
    <row r="5148" spans="2:12" ht="15.75">
      <c r="B5148" s="772"/>
      <c r="C5148" s="19"/>
      <c r="D5148" s="19"/>
      <c r="E5148" s="19"/>
      <c r="F5148" s="19"/>
      <c r="G5148" s="20"/>
      <c r="H5148" s="68"/>
      <c r="I5148" s="17"/>
      <c r="J5148" s="28"/>
      <c r="K5148" s="17"/>
      <c r="L5148" s="649"/>
    </row>
    <row r="5149" spans="2:12" ht="15.75">
      <c r="B5149" s="772"/>
      <c r="C5149" s="19"/>
      <c r="D5149" s="19"/>
      <c r="E5149" s="19"/>
      <c r="F5149" s="19"/>
      <c r="G5149" s="20"/>
      <c r="H5149" s="68"/>
      <c r="I5149" s="17"/>
      <c r="J5149" s="28"/>
      <c r="K5149" s="17"/>
      <c r="L5149" s="649"/>
    </row>
    <row r="5150" spans="2:12" ht="15.75">
      <c r="B5150" s="772"/>
      <c r="C5150" s="19"/>
      <c r="D5150" s="19"/>
      <c r="E5150" s="19"/>
      <c r="F5150" s="19"/>
      <c r="G5150" s="20"/>
      <c r="H5150" s="68"/>
      <c r="I5150" s="17"/>
      <c r="J5150" s="28"/>
      <c r="K5150" s="17"/>
      <c r="L5150" s="649"/>
    </row>
    <row r="5151" spans="2:12" ht="15.75">
      <c r="B5151" s="981"/>
      <c r="C5151" s="982"/>
      <c r="D5151" s="982"/>
      <c r="E5151" s="982"/>
      <c r="F5151" s="982"/>
      <c r="G5151" s="982"/>
      <c r="H5151" s="982"/>
      <c r="I5151" s="982"/>
      <c r="J5151" s="982"/>
      <c r="K5151" s="982"/>
      <c r="L5151" s="983"/>
    </row>
    <row r="5152" spans="2:12">
      <c r="B5152" s="651"/>
      <c r="L5152" s="652"/>
    </row>
    <row r="5153" spans="2:12" ht="15.6" customHeight="1">
      <c r="B5153" s="638" t="s">
        <v>398</v>
      </c>
      <c r="C5153" s="8">
        <v>15</v>
      </c>
      <c r="D5153" s="1008" t="s">
        <v>1036</v>
      </c>
      <c r="E5153" s="1009"/>
      <c r="F5153" s="1009"/>
      <c r="G5153" s="1009"/>
      <c r="H5153" s="1009"/>
      <c r="I5153" s="1009"/>
      <c r="J5153" s="1009"/>
      <c r="K5153" s="1009"/>
      <c r="L5153" s="1010"/>
    </row>
    <row r="5154" spans="2:12" ht="15">
      <c r="B5154" s="1005"/>
      <c r="C5154" s="1006"/>
      <c r="D5154" s="1006"/>
      <c r="E5154" s="1006"/>
      <c r="F5154" s="1006"/>
      <c r="G5154" s="1006"/>
      <c r="H5154" s="1006"/>
      <c r="I5154" s="1006"/>
      <c r="J5154" s="1006"/>
      <c r="K5154" s="1006"/>
      <c r="L5154" s="1007"/>
    </row>
    <row r="5155" spans="2:12" ht="31.5">
      <c r="B5155" s="642" t="s">
        <v>399</v>
      </c>
      <c r="C5155" s="8">
        <f>+'PROPUESTA ECONOMICA(Proponente)'!C647</f>
        <v>15.14</v>
      </c>
      <c r="D5155" s="12" t="str">
        <f>+VLOOKUP('MEMORIAS DE CANTIDADES'!C5155,'PROPUESTA ECONOMICA(Proponente)'!$C$379:$H$661,5,FALSE)</f>
        <v xml:space="preserve">Suministro e instalación de Tope llantas para parqueadero. </v>
      </c>
      <c r="E5155" s="13"/>
      <c r="F5155" s="12"/>
      <c r="G5155" s="12"/>
      <c r="H5155" s="12"/>
      <c r="I5155" s="11" t="s">
        <v>400</v>
      </c>
      <c r="J5155" s="12" t="str">
        <f>+VLOOKUP('MEMORIAS DE CANTIDADES'!C5155,'PROPUESTA ECONOMICA(Proponente)'!$C$379:$H$661,6,FALSE)</f>
        <v>UN</v>
      </c>
      <c r="K5155" s="11" t="s">
        <v>401</v>
      </c>
      <c r="L5155" s="643">
        <f>SUM(L5156:L5162)</f>
        <v>100</v>
      </c>
    </row>
    <row r="5156" spans="2:12" ht="15">
      <c r="B5156" s="644"/>
      <c r="C5156" s="16"/>
      <c r="D5156" s="15"/>
      <c r="E5156" s="15"/>
      <c r="F5156" s="15"/>
      <c r="G5156" s="15"/>
      <c r="H5156" s="15"/>
      <c r="I5156" s="15"/>
      <c r="J5156" s="15"/>
      <c r="K5156" s="17"/>
      <c r="L5156" s="645"/>
    </row>
    <row r="5157" spans="2:12" ht="47.25">
      <c r="B5157" s="646" t="s">
        <v>402</v>
      </c>
      <c r="C5157" s="18" t="s">
        <v>403</v>
      </c>
      <c r="D5157" s="18" t="s">
        <v>404</v>
      </c>
      <c r="E5157" s="18" t="s">
        <v>405</v>
      </c>
      <c r="F5157" s="18" t="s">
        <v>406</v>
      </c>
      <c r="G5157" s="18" t="s">
        <v>407</v>
      </c>
      <c r="H5157" s="5" t="s">
        <v>408</v>
      </c>
      <c r="I5157" s="18" t="s">
        <v>409</v>
      </c>
      <c r="J5157" s="5" t="s">
        <v>410</v>
      </c>
      <c r="K5157" s="5" t="s">
        <v>411</v>
      </c>
      <c r="L5157" s="647" t="s">
        <v>412</v>
      </c>
    </row>
    <row r="5158" spans="2:12" ht="15">
      <c r="B5158" s="773" t="s">
        <v>575</v>
      </c>
      <c r="C5158" s="19"/>
      <c r="D5158" s="19"/>
      <c r="E5158" s="19"/>
      <c r="F5158" s="19"/>
      <c r="G5158" s="20"/>
      <c r="H5158" s="68"/>
      <c r="I5158" s="17">
        <v>100</v>
      </c>
      <c r="J5158" s="28"/>
      <c r="K5158" s="17"/>
      <c r="L5158" s="649">
        <f>PRODUCT(C5158:K5158)</f>
        <v>100</v>
      </c>
    </row>
    <row r="5159" spans="2:12" ht="15">
      <c r="B5159" s="773"/>
      <c r="C5159" s="19"/>
      <c r="D5159" s="19"/>
      <c r="E5159" s="19"/>
      <c r="F5159" s="19"/>
      <c r="G5159" s="20"/>
      <c r="H5159" s="68"/>
      <c r="I5159" s="17"/>
      <c r="J5159" s="28"/>
      <c r="K5159" s="17"/>
      <c r="L5159" s="649"/>
    </row>
    <row r="5160" spans="2:12" ht="15">
      <c r="B5160" s="773"/>
      <c r="C5160" s="19"/>
      <c r="D5160" s="19"/>
      <c r="E5160" s="19"/>
      <c r="F5160" s="19"/>
      <c r="G5160" s="20"/>
      <c r="H5160" s="68"/>
      <c r="I5160" s="17"/>
      <c r="J5160" s="28"/>
      <c r="K5160" s="17"/>
      <c r="L5160" s="649"/>
    </row>
    <row r="5161" spans="2:12" ht="15.75">
      <c r="B5161" s="772"/>
      <c r="C5161" s="19"/>
      <c r="D5161" s="19"/>
      <c r="E5161" s="19"/>
      <c r="F5161" s="19"/>
      <c r="G5161" s="20"/>
      <c r="H5161" s="68"/>
      <c r="I5161" s="17"/>
      <c r="J5161" s="28"/>
      <c r="K5161" s="17"/>
      <c r="L5161" s="649"/>
    </row>
    <row r="5162" spans="2:12" ht="15.75">
      <c r="B5162" s="981"/>
      <c r="C5162" s="982"/>
      <c r="D5162" s="982"/>
      <c r="E5162" s="982"/>
      <c r="F5162" s="982"/>
      <c r="G5162" s="982"/>
      <c r="H5162" s="982"/>
      <c r="I5162" s="982"/>
      <c r="J5162" s="982"/>
      <c r="K5162" s="982"/>
      <c r="L5162" s="983"/>
    </row>
    <row r="5163" spans="2:12">
      <c r="B5163" s="651"/>
      <c r="L5163" s="652"/>
    </row>
    <row r="5164" spans="2:12" ht="15.6" customHeight="1">
      <c r="B5164" s="638" t="s">
        <v>398</v>
      </c>
      <c r="C5164" s="8">
        <v>15</v>
      </c>
      <c r="D5164" s="1008" t="s">
        <v>1036</v>
      </c>
      <c r="E5164" s="1009"/>
      <c r="F5164" s="1009"/>
      <c r="G5164" s="1009"/>
      <c r="H5164" s="1009"/>
      <c r="I5164" s="1009"/>
      <c r="J5164" s="1009"/>
      <c r="K5164" s="1009"/>
      <c r="L5164" s="1010"/>
    </row>
    <row r="5165" spans="2:12" ht="15">
      <c r="B5165" s="1005"/>
      <c r="C5165" s="1006"/>
      <c r="D5165" s="1006"/>
      <c r="E5165" s="1006"/>
      <c r="F5165" s="1006"/>
      <c r="G5165" s="1006"/>
      <c r="H5165" s="1006"/>
      <c r="I5165" s="1006"/>
      <c r="J5165" s="1006"/>
      <c r="K5165" s="1006"/>
      <c r="L5165" s="1007"/>
    </row>
    <row r="5166" spans="2:12" ht="31.5">
      <c r="B5166" s="642" t="s">
        <v>399</v>
      </c>
      <c r="C5166" s="8">
        <f>+'PROPUESTA ECONOMICA(Proponente)'!C648</f>
        <v>15.15</v>
      </c>
      <c r="D5166" s="12" t="str">
        <f>+VLOOKUP('MEMORIAS DE CANTIDADES'!C5166,'PROPUESTA ECONOMICA(Proponente)'!$C$379:$H$661,5,FALSE)</f>
        <v>Demarcación con pintura tipo trafico E= 12 cm (Incluye suministro y aplicación).</v>
      </c>
      <c r="E5166" s="13"/>
      <c r="F5166" s="12"/>
      <c r="G5166" s="12"/>
      <c r="H5166" s="12"/>
      <c r="I5166" s="11" t="s">
        <v>400</v>
      </c>
      <c r="J5166" s="12" t="str">
        <f>+VLOOKUP('MEMORIAS DE CANTIDADES'!C5166,'PROPUESTA ECONOMICA(Proponente)'!$C$379:$H$661,6,FALSE)</f>
        <v>ml</v>
      </c>
      <c r="K5166" s="11" t="s">
        <v>401</v>
      </c>
      <c r="L5166" s="643">
        <f>SUM(L5167:L5173)</f>
        <v>395</v>
      </c>
    </row>
    <row r="5167" spans="2:12" ht="15">
      <c r="B5167" s="644"/>
      <c r="C5167" s="16"/>
      <c r="D5167" s="15"/>
      <c r="E5167" s="15"/>
      <c r="F5167" s="15"/>
      <c r="G5167" s="15"/>
      <c r="H5167" s="15"/>
      <c r="I5167" s="15"/>
      <c r="J5167" s="15"/>
      <c r="K5167" s="17"/>
      <c r="L5167" s="645"/>
    </row>
    <row r="5168" spans="2:12" ht="47.25">
      <c r="B5168" s="646" t="s">
        <v>402</v>
      </c>
      <c r="C5168" s="18" t="s">
        <v>403</v>
      </c>
      <c r="D5168" s="18" t="s">
        <v>404</v>
      </c>
      <c r="E5168" s="18" t="s">
        <v>405</v>
      </c>
      <c r="F5168" s="18" t="s">
        <v>406</v>
      </c>
      <c r="G5168" s="18" t="s">
        <v>407</v>
      </c>
      <c r="H5168" s="5" t="s">
        <v>408</v>
      </c>
      <c r="I5168" s="18" t="s">
        <v>409</v>
      </c>
      <c r="J5168" s="5" t="s">
        <v>410</v>
      </c>
      <c r="K5168" s="5" t="s">
        <v>411</v>
      </c>
      <c r="L5168" s="647" t="s">
        <v>412</v>
      </c>
    </row>
    <row r="5169" spans="2:12" ht="15">
      <c r="B5169" s="773" t="s">
        <v>575</v>
      </c>
      <c r="C5169" s="19"/>
      <c r="D5169" s="19"/>
      <c r="E5169" s="19"/>
      <c r="F5169" s="19">
        <v>5</v>
      </c>
      <c r="G5169" s="20"/>
      <c r="H5169" s="68"/>
      <c r="I5169" s="17">
        <f>41+12</f>
        <v>53</v>
      </c>
      <c r="J5169" s="28"/>
      <c r="K5169" s="17"/>
      <c r="L5169" s="649">
        <f>PRODUCT(C5169:K5169)</f>
        <v>265</v>
      </c>
    </row>
    <row r="5170" spans="2:12" ht="15">
      <c r="B5170" s="773" t="s">
        <v>576</v>
      </c>
      <c r="C5170" s="19"/>
      <c r="D5170" s="19"/>
      <c r="E5170" s="19"/>
      <c r="F5170" s="19">
        <v>2.4</v>
      </c>
      <c r="G5170" s="20"/>
      <c r="H5170" s="68"/>
      <c r="I5170" s="17">
        <v>50</v>
      </c>
      <c r="J5170" s="28"/>
      <c r="K5170" s="17"/>
      <c r="L5170" s="649">
        <f>PRODUCT(C5170:K5170)</f>
        <v>120</v>
      </c>
    </row>
    <row r="5171" spans="2:12" ht="15">
      <c r="B5171" s="773" t="s">
        <v>528</v>
      </c>
      <c r="C5171" s="19"/>
      <c r="D5171" s="19"/>
      <c r="E5171" s="19"/>
      <c r="F5171" s="19">
        <v>10</v>
      </c>
      <c r="G5171" s="20"/>
      <c r="H5171" s="68"/>
      <c r="I5171" s="17">
        <v>1</v>
      </c>
      <c r="J5171" s="28"/>
      <c r="K5171" s="17"/>
      <c r="L5171" s="649">
        <f>PRODUCT(C5171:K5171)</f>
        <v>10</v>
      </c>
    </row>
    <row r="5172" spans="2:12" ht="15.75">
      <c r="B5172" s="772"/>
      <c r="C5172" s="19"/>
      <c r="D5172" s="19"/>
      <c r="E5172" s="19"/>
      <c r="F5172" s="19"/>
      <c r="G5172" s="20"/>
      <c r="H5172" s="68"/>
      <c r="I5172" s="17"/>
      <c r="J5172" s="28"/>
      <c r="K5172" s="17"/>
      <c r="L5172" s="649"/>
    </row>
    <row r="5173" spans="2:12" ht="15.75">
      <c r="B5173" s="981"/>
      <c r="C5173" s="982"/>
      <c r="D5173" s="982"/>
      <c r="E5173" s="982"/>
      <c r="F5173" s="982"/>
      <c r="G5173" s="982"/>
      <c r="H5173" s="982"/>
      <c r="I5173" s="982"/>
      <c r="J5173" s="982"/>
      <c r="K5173" s="982"/>
      <c r="L5173" s="983"/>
    </row>
    <row r="5174" spans="2:12">
      <c r="B5174" s="651"/>
      <c r="L5174" s="652"/>
    </row>
    <row r="5175" spans="2:12" ht="15.6" customHeight="1">
      <c r="B5175" s="638" t="s">
        <v>398</v>
      </c>
      <c r="C5175" s="8">
        <v>15</v>
      </c>
      <c r="D5175" s="1008" t="s">
        <v>1036</v>
      </c>
      <c r="E5175" s="1009"/>
      <c r="F5175" s="1009"/>
      <c r="G5175" s="1009"/>
      <c r="H5175" s="1009"/>
      <c r="I5175" s="1009"/>
      <c r="J5175" s="1009"/>
      <c r="K5175" s="1009"/>
      <c r="L5175" s="1010"/>
    </row>
    <row r="5176" spans="2:12" ht="15">
      <c r="B5176" s="1005"/>
      <c r="C5176" s="1006"/>
      <c r="D5176" s="1006"/>
      <c r="E5176" s="1006"/>
      <c r="F5176" s="1006"/>
      <c r="G5176" s="1006"/>
      <c r="H5176" s="1006"/>
      <c r="I5176" s="1006"/>
      <c r="J5176" s="1006"/>
      <c r="K5176" s="1006"/>
      <c r="L5176" s="1007"/>
    </row>
    <row r="5177" spans="2:12" ht="31.5">
      <c r="B5177" s="642" t="s">
        <v>399</v>
      </c>
      <c r="C5177" s="8">
        <f>+'PROPUESTA ECONOMICA(Proponente)'!C649</f>
        <v>15.16</v>
      </c>
      <c r="D5177" s="12" t="str">
        <f>+VLOOKUP('MEMORIAS DE CANTIDADES'!C5177,'PROPUESTA ECONOMICA(Proponente)'!$C$379:$H$661,5,FALSE)</f>
        <v xml:space="preserve">Demarcación pictogramas con pintura tipo trafico, (Incluye suministro y aplicación). </v>
      </c>
      <c r="E5177" s="13"/>
      <c r="F5177" s="12"/>
      <c r="G5177" s="12"/>
      <c r="H5177" s="12"/>
      <c r="I5177" s="11" t="s">
        <v>400</v>
      </c>
      <c r="J5177" s="12" t="str">
        <f>+VLOOKUP('MEMORIAS DE CANTIDADES'!C5177,'PROPUESTA ECONOMICA(Proponente)'!$C$379:$H$661,6,FALSE)</f>
        <v>m2</v>
      </c>
      <c r="K5177" s="11" t="s">
        <v>401</v>
      </c>
      <c r="L5177" s="643">
        <f>SUM(L5178:L5184)</f>
        <v>39</v>
      </c>
    </row>
    <row r="5178" spans="2:12" ht="15">
      <c r="B5178" s="644"/>
      <c r="C5178" s="16"/>
      <c r="D5178" s="15"/>
      <c r="E5178" s="15"/>
      <c r="F5178" s="15"/>
      <c r="G5178" s="15"/>
      <c r="H5178" s="15"/>
      <c r="I5178" s="15"/>
      <c r="J5178" s="15"/>
      <c r="K5178" s="17"/>
      <c r="L5178" s="645"/>
    </row>
    <row r="5179" spans="2:12" ht="47.25">
      <c r="B5179" s="646" t="s">
        <v>402</v>
      </c>
      <c r="C5179" s="18" t="s">
        <v>403</v>
      </c>
      <c r="D5179" s="18" t="s">
        <v>404</v>
      </c>
      <c r="E5179" s="18" t="s">
        <v>405</v>
      </c>
      <c r="F5179" s="18" t="s">
        <v>406</v>
      </c>
      <c r="G5179" s="18" t="s">
        <v>407</v>
      </c>
      <c r="H5179" s="5" t="s">
        <v>408</v>
      </c>
      <c r="I5179" s="18" t="s">
        <v>409</v>
      </c>
      <c r="J5179" s="5" t="s">
        <v>410</v>
      </c>
      <c r="K5179" s="5" t="s">
        <v>411</v>
      </c>
      <c r="L5179" s="647" t="s">
        <v>412</v>
      </c>
    </row>
    <row r="5180" spans="2:12" ht="15">
      <c r="B5180" s="773" t="s">
        <v>577</v>
      </c>
      <c r="C5180" s="19"/>
      <c r="D5180" s="19">
        <v>2.5</v>
      </c>
      <c r="E5180" s="19"/>
      <c r="F5180" s="19">
        <v>5</v>
      </c>
      <c r="G5180" s="20"/>
      <c r="H5180" s="68"/>
      <c r="I5180" s="17"/>
      <c r="J5180" s="28">
        <v>2</v>
      </c>
      <c r="K5180" s="17"/>
      <c r="L5180" s="649">
        <f>PRODUCT(C5180:K5180)</f>
        <v>25</v>
      </c>
    </row>
    <row r="5181" spans="2:12" ht="15">
      <c r="B5181" s="773" t="s">
        <v>578</v>
      </c>
      <c r="C5181" s="19">
        <v>0.7</v>
      </c>
      <c r="D5181" s="19"/>
      <c r="E5181" s="19"/>
      <c r="F5181" s="19"/>
      <c r="G5181" s="20"/>
      <c r="H5181" s="68"/>
      <c r="I5181" s="17"/>
      <c r="J5181" s="28">
        <v>20</v>
      </c>
      <c r="K5181" s="17"/>
      <c r="L5181" s="649">
        <f>PRODUCT(C5181:K5181)</f>
        <v>14</v>
      </c>
    </row>
    <row r="5182" spans="2:12" ht="15">
      <c r="B5182" s="773"/>
      <c r="C5182" s="19"/>
      <c r="D5182" s="19"/>
      <c r="E5182" s="19"/>
      <c r="F5182" s="19"/>
      <c r="G5182" s="20"/>
      <c r="H5182" s="68"/>
      <c r="I5182" s="17"/>
      <c r="J5182" s="28"/>
      <c r="K5182" s="17"/>
      <c r="L5182" s="649"/>
    </row>
    <row r="5183" spans="2:12" ht="15.75">
      <c r="B5183" s="772"/>
      <c r="C5183" s="19"/>
      <c r="D5183" s="19"/>
      <c r="E5183" s="19"/>
      <c r="F5183" s="19"/>
      <c r="G5183" s="20"/>
      <c r="H5183" s="68"/>
      <c r="I5183" s="17"/>
      <c r="J5183" s="28"/>
      <c r="K5183" s="17"/>
      <c r="L5183" s="649"/>
    </row>
    <row r="5184" spans="2:12" ht="15.75">
      <c r="B5184" s="981"/>
      <c r="C5184" s="982"/>
      <c r="D5184" s="982"/>
      <c r="E5184" s="982"/>
      <c r="F5184" s="982"/>
      <c r="G5184" s="982"/>
      <c r="H5184" s="982"/>
      <c r="I5184" s="982"/>
      <c r="J5184" s="982"/>
      <c r="K5184" s="982"/>
      <c r="L5184" s="983"/>
    </row>
    <row r="5185" spans="2:12">
      <c r="B5185" s="651"/>
      <c r="L5185" s="652"/>
    </row>
    <row r="5186" spans="2:12" ht="15.6" customHeight="1">
      <c r="B5186" s="638" t="s">
        <v>398</v>
      </c>
      <c r="C5186" s="8">
        <v>15</v>
      </c>
      <c r="D5186" s="1008" t="s">
        <v>1036</v>
      </c>
      <c r="E5186" s="1009"/>
      <c r="F5186" s="1009"/>
      <c r="G5186" s="1009"/>
      <c r="H5186" s="1009"/>
      <c r="I5186" s="1009"/>
      <c r="J5186" s="1009"/>
      <c r="K5186" s="1009"/>
      <c r="L5186" s="1010"/>
    </row>
    <row r="5187" spans="2:12" ht="15">
      <c r="B5187" s="1005"/>
      <c r="C5187" s="1006"/>
      <c r="D5187" s="1006"/>
      <c r="E5187" s="1006"/>
      <c r="F5187" s="1006"/>
      <c r="G5187" s="1006"/>
      <c r="H5187" s="1006"/>
      <c r="I5187" s="1006"/>
      <c r="J5187" s="1006"/>
      <c r="K5187" s="1006"/>
      <c r="L5187" s="1007"/>
    </row>
    <row r="5188" spans="2:12" ht="31.5">
      <c r="B5188" s="642" t="s">
        <v>399</v>
      </c>
      <c r="C5188" s="8">
        <f>+'PROPUESTA ECONOMICA(Proponente)'!C650</f>
        <v>15.17</v>
      </c>
      <c r="D5188" s="12" t="str">
        <f>+VLOOKUP('MEMORIAS DE CANTIDADES'!C5188,'PROPUESTA ECONOMICA(Proponente)'!$C$379:$H$661,5,FALSE)</f>
        <v xml:space="preserve">Banca Dobbelt módulo a marca konkretus, (Incluye suministro e instalación). </v>
      </c>
      <c r="E5188" s="13"/>
      <c r="F5188" s="12"/>
      <c r="G5188" s="12"/>
      <c r="H5188" s="12"/>
      <c r="I5188" s="11" t="s">
        <v>400</v>
      </c>
      <c r="J5188" s="12" t="str">
        <f>+VLOOKUP('MEMORIAS DE CANTIDADES'!C5188,'PROPUESTA ECONOMICA(Proponente)'!$C$379:$H$661,6,FALSE)</f>
        <v>UN</v>
      </c>
      <c r="K5188" s="11" t="s">
        <v>401</v>
      </c>
      <c r="L5188" s="643">
        <f>SUM(L5189:L5194)</f>
        <v>37</v>
      </c>
    </row>
    <row r="5189" spans="2:12" ht="15">
      <c r="B5189" s="644"/>
      <c r="C5189" s="16"/>
      <c r="D5189" s="15"/>
      <c r="E5189" s="15"/>
      <c r="F5189" s="15"/>
      <c r="G5189" s="15"/>
      <c r="H5189" s="15"/>
      <c r="I5189" s="15"/>
      <c r="J5189" s="15"/>
      <c r="K5189" s="17"/>
      <c r="L5189" s="645"/>
    </row>
    <row r="5190" spans="2:12" ht="47.25">
      <c r="B5190" s="646" t="s">
        <v>402</v>
      </c>
      <c r="C5190" s="18" t="s">
        <v>403</v>
      </c>
      <c r="D5190" s="18" t="s">
        <v>404</v>
      </c>
      <c r="E5190" s="18" t="s">
        <v>405</v>
      </c>
      <c r="F5190" s="18" t="s">
        <v>406</v>
      </c>
      <c r="G5190" s="18" t="s">
        <v>407</v>
      </c>
      <c r="H5190" s="5" t="s">
        <v>408</v>
      </c>
      <c r="I5190" s="18" t="s">
        <v>409</v>
      </c>
      <c r="J5190" s="5" t="s">
        <v>410</v>
      </c>
      <c r="K5190" s="5" t="s">
        <v>411</v>
      </c>
      <c r="L5190" s="647" t="s">
        <v>412</v>
      </c>
    </row>
    <row r="5191" spans="2:12" ht="15">
      <c r="B5191" s="773"/>
      <c r="C5191" s="19"/>
      <c r="D5191" s="19"/>
      <c r="E5191" s="19"/>
      <c r="F5191" s="19"/>
      <c r="G5191" s="20"/>
      <c r="H5191" s="68"/>
      <c r="I5191" s="17"/>
      <c r="J5191" s="28">
        <v>37</v>
      </c>
      <c r="K5191" s="17"/>
      <c r="L5191" s="649">
        <f>PRODUCT(C5191:K5191)</f>
        <v>37</v>
      </c>
    </row>
    <row r="5192" spans="2:12" ht="15">
      <c r="B5192" s="773"/>
      <c r="C5192" s="19"/>
      <c r="D5192" s="19"/>
      <c r="E5192" s="19"/>
      <c r="F5192" s="19"/>
      <c r="G5192" s="20"/>
      <c r="H5192" s="68"/>
      <c r="I5192" s="17"/>
      <c r="J5192" s="28"/>
      <c r="K5192" s="17"/>
      <c r="L5192" s="649"/>
    </row>
    <row r="5193" spans="2:12" ht="15">
      <c r="B5193" s="773"/>
      <c r="C5193" s="19"/>
      <c r="D5193" s="19"/>
      <c r="E5193" s="19"/>
      <c r="F5193" s="19"/>
      <c r="G5193" s="20"/>
      <c r="H5193" s="68"/>
      <c r="I5193" s="17"/>
      <c r="J5193" s="28"/>
      <c r="K5193" s="17"/>
      <c r="L5193" s="649"/>
    </row>
    <row r="5194" spans="2:12" ht="15.75">
      <c r="B5194" s="981"/>
      <c r="C5194" s="982"/>
      <c r="D5194" s="982"/>
      <c r="E5194" s="982"/>
      <c r="F5194" s="982"/>
      <c r="G5194" s="982"/>
      <c r="H5194" s="982"/>
      <c r="I5194" s="982"/>
      <c r="J5194" s="982"/>
      <c r="K5194" s="982"/>
      <c r="L5194" s="983"/>
    </row>
    <row r="5195" spans="2:12">
      <c r="B5195" s="651"/>
      <c r="L5195" s="652"/>
    </row>
    <row r="5196" spans="2:12" ht="15.6" customHeight="1">
      <c r="B5196" s="638" t="s">
        <v>398</v>
      </c>
      <c r="C5196" s="8">
        <v>15</v>
      </c>
      <c r="D5196" s="1008" t="s">
        <v>1036</v>
      </c>
      <c r="E5196" s="1009"/>
      <c r="F5196" s="1009"/>
      <c r="G5196" s="1009"/>
      <c r="H5196" s="1009"/>
      <c r="I5196" s="1009"/>
      <c r="J5196" s="1009"/>
      <c r="K5196" s="1009"/>
      <c r="L5196" s="1010"/>
    </row>
    <row r="5197" spans="2:12" ht="15">
      <c r="B5197" s="1005"/>
      <c r="C5197" s="1006"/>
      <c r="D5197" s="1006"/>
      <c r="E5197" s="1006"/>
      <c r="F5197" s="1006"/>
      <c r="G5197" s="1006"/>
      <c r="H5197" s="1006"/>
      <c r="I5197" s="1006"/>
      <c r="J5197" s="1006"/>
      <c r="K5197" s="1006"/>
      <c r="L5197" s="1007"/>
    </row>
    <row r="5198" spans="2:12" ht="31.5">
      <c r="B5198" s="642" t="s">
        <v>399</v>
      </c>
      <c r="C5198" s="8">
        <f>+'PROPUESTA ECONOMICA(Proponente)'!C651</f>
        <v>15.18</v>
      </c>
      <c r="D5198" s="12" t="str">
        <f>+VLOOKUP('MEMORIAS DE CANTIDADES'!C5198,'PROPUESTA ECONOMICA(Proponente)'!$C$379:$H$661,5,FALSE)</f>
        <v xml:space="preserve">Banca Dobbelt módulo a con espaldar marca konkretus (Incluye suministro e instalación). </v>
      </c>
      <c r="E5198" s="13"/>
      <c r="F5198" s="12"/>
      <c r="G5198" s="12"/>
      <c r="H5198" s="12"/>
      <c r="I5198" s="11" t="s">
        <v>400</v>
      </c>
      <c r="J5198" s="12" t="str">
        <f>+VLOOKUP('MEMORIAS DE CANTIDADES'!C5198,'PROPUESTA ECONOMICA(Proponente)'!$C$379:$H$661,6,FALSE)</f>
        <v>UN</v>
      </c>
      <c r="K5198" s="11" t="s">
        <v>401</v>
      </c>
      <c r="L5198" s="643">
        <f>SUM(L5199:L5204)</f>
        <v>5</v>
      </c>
    </row>
    <row r="5199" spans="2:12" ht="15">
      <c r="B5199" s="644"/>
      <c r="C5199" s="16"/>
      <c r="D5199" s="15"/>
      <c r="E5199" s="15"/>
      <c r="F5199" s="15"/>
      <c r="G5199" s="15"/>
      <c r="H5199" s="15"/>
      <c r="I5199" s="15"/>
      <c r="J5199" s="15"/>
      <c r="K5199" s="17"/>
      <c r="L5199" s="645"/>
    </row>
    <row r="5200" spans="2:12" ht="47.25">
      <c r="B5200" s="646" t="s">
        <v>402</v>
      </c>
      <c r="C5200" s="18" t="s">
        <v>403</v>
      </c>
      <c r="D5200" s="18" t="s">
        <v>404</v>
      </c>
      <c r="E5200" s="18" t="s">
        <v>405</v>
      </c>
      <c r="F5200" s="18" t="s">
        <v>406</v>
      </c>
      <c r="G5200" s="18" t="s">
        <v>407</v>
      </c>
      <c r="H5200" s="5" t="s">
        <v>408</v>
      </c>
      <c r="I5200" s="18" t="s">
        <v>409</v>
      </c>
      <c r="J5200" s="5" t="s">
        <v>410</v>
      </c>
      <c r="K5200" s="5" t="s">
        <v>411</v>
      </c>
      <c r="L5200" s="647" t="s">
        <v>412</v>
      </c>
    </row>
    <row r="5201" spans="2:12" ht="15">
      <c r="B5201" s="773"/>
      <c r="C5201" s="269"/>
      <c r="D5201" s="269"/>
      <c r="E5201" s="269"/>
      <c r="F5201" s="269"/>
      <c r="G5201" s="270"/>
      <c r="H5201" s="346"/>
      <c r="I5201" s="17">
        <v>0</v>
      </c>
      <c r="J5201" s="28">
        <v>6</v>
      </c>
      <c r="K5201" s="17"/>
      <c r="L5201" s="656">
        <v>5</v>
      </c>
    </row>
    <row r="5202" spans="2:12" ht="15">
      <c r="B5202" s="773"/>
      <c r="C5202" s="19"/>
      <c r="D5202" s="19"/>
      <c r="E5202" s="19"/>
      <c r="F5202" s="19"/>
      <c r="G5202" s="20"/>
      <c r="H5202" s="68"/>
      <c r="I5202" s="17"/>
      <c r="J5202" s="28"/>
      <c r="K5202" s="17"/>
      <c r="L5202" s="649"/>
    </row>
    <row r="5203" spans="2:12" ht="15">
      <c r="B5203" s="773"/>
      <c r="C5203" s="19"/>
      <c r="D5203" s="19"/>
      <c r="E5203" s="19"/>
      <c r="F5203" s="19"/>
      <c r="G5203" s="20"/>
      <c r="H5203" s="68"/>
      <c r="I5203" s="17"/>
      <c r="J5203" s="28"/>
      <c r="K5203" s="17"/>
      <c r="L5203" s="649"/>
    </row>
    <row r="5204" spans="2:12" ht="15.75">
      <c r="B5204" s="981"/>
      <c r="C5204" s="982"/>
      <c r="D5204" s="982"/>
      <c r="E5204" s="982"/>
      <c r="F5204" s="982"/>
      <c r="G5204" s="982"/>
      <c r="H5204" s="982"/>
      <c r="I5204" s="982"/>
      <c r="J5204" s="982"/>
      <c r="K5204" s="982"/>
      <c r="L5204" s="983"/>
    </row>
    <row r="5205" spans="2:12">
      <c r="B5205" s="651"/>
      <c r="L5205" s="652"/>
    </row>
    <row r="5206" spans="2:12" ht="15.6" customHeight="1">
      <c r="B5206" s="638" t="s">
        <v>398</v>
      </c>
      <c r="C5206" s="8">
        <v>15</v>
      </c>
      <c r="D5206" s="1008" t="s">
        <v>1036</v>
      </c>
      <c r="E5206" s="1009"/>
      <c r="F5206" s="1009"/>
      <c r="G5206" s="1009"/>
      <c r="H5206" s="1009"/>
      <c r="I5206" s="1009"/>
      <c r="J5206" s="1009"/>
      <c r="K5206" s="1009"/>
      <c r="L5206" s="1010"/>
    </row>
    <row r="5207" spans="2:12" ht="15">
      <c r="B5207" s="1005"/>
      <c r="C5207" s="1006"/>
      <c r="D5207" s="1006"/>
      <c r="E5207" s="1006"/>
      <c r="F5207" s="1006"/>
      <c r="G5207" s="1006"/>
      <c r="H5207" s="1006"/>
      <c r="I5207" s="1006"/>
      <c r="J5207" s="1006"/>
      <c r="K5207" s="1006"/>
      <c r="L5207" s="1007"/>
    </row>
    <row r="5208" spans="2:12" ht="31.5">
      <c r="B5208" s="642" t="s">
        <v>399</v>
      </c>
      <c r="C5208" s="8">
        <f>+'PROPUESTA ECONOMICA(Proponente)'!C652</f>
        <v>15.19</v>
      </c>
      <c r="D5208" s="12" t="str">
        <f>+VLOOKUP('MEMORIAS DE CANTIDADES'!C5208,'PROPUESTA ECONOMICA(Proponente)'!$C$379:$H$661,5,FALSE)</f>
        <v xml:space="preserve">Banca Mc marca Konkretus,(Incluye suministro e instalación). </v>
      </c>
      <c r="E5208" s="13"/>
      <c r="F5208" s="12"/>
      <c r="G5208" s="12"/>
      <c r="H5208" s="12"/>
      <c r="I5208" s="11" t="s">
        <v>400</v>
      </c>
      <c r="J5208" s="12" t="str">
        <f>+VLOOKUP('MEMORIAS DE CANTIDADES'!C5208,'PROPUESTA ECONOMICA(Proponente)'!$C$379:$H$661,6,FALSE)</f>
        <v>UN</v>
      </c>
      <c r="K5208" s="11" t="s">
        <v>401</v>
      </c>
      <c r="L5208" s="643">
        <f>SUM(L5209:L5214)</f>
        <v>15</v>
      </c>
    </row>
    <row r="5209" spans="2:12" ht="15">
      <c r="B5209" s="644"/>
      <c r="C5209" s="16"/>
      <c r="D5209" s="15"/>
      <c r="E5209" s="15"/>
      <c r="F5209" s="15"/>
      <c r="G5209" s="15"/>
      <c r="H5209" s="15"/>
      <c r="I5209" s="15"/>
      <c r="J5209" s="15"/>
      <c r="K5209" s="17"/>
      <c r="L5209" s="645"/>
    </row>
    <row r="5210" spans="2:12" ht="47.25">
      <c r="B5210" s="646" t="s">
        <v>402</v>
      </c>
      <c r="C5210" s="18" t="s">
        <v>403</v>
      </c>
      <c r="D5210" s="18" t="s">
        <v>404</v>
      </c>
      <c r="E5210" s="18" t="s">
        <v>405</v>
      </c>
      <c r="F5210" s="18" t="s">
        <v>406</v>
      </c>
      <c r="G5210" s="18" t="s">
        <v>407</v>
      </c>
      <c r="H5210" s="5" t="s">
        <v>408</v>
      </c>
      <c r="I5210" s="18" t="s">
        <v>409</v>
      </c>
      <c r="J5210" s="5" t="s">
        <v>410</v>
      </c>
      <c r="K5210" s="5" t="s">
        <v>411</v>
      </c>
      <c r="L5210" s="647" t="s">
        <v>412</v>
      </c>
    </row>
    <row r="5211" spans="2:12" ht="15">
      <c r="B5211" s="773"/>
      <c r="C5211" s="19"/>
      <c r="D5211" s="19"/>
      <c r="E5211" s="19"/>
      <c r="F5211" s="19"/>
      <c r="G5211" s="20"/>
      <c r="H5211" s="68"/>
      <c r="I5211" s="17"/>
      <c r="J5211" s="28">
        <v>15</v>
      </c>
      <c r="K5211" s="17"/>
      <c r="L5211" s="649">
        <f>PRODUCT(C5211:K5211)</f>
        <v>15</v>
      </c>
    </row>
    <row r="5212" spans="2:12" ht="15">
      <c r="B5212" s="773"/>
      <c r="C5212" s="19"/>
      <c r="D5212" s="19"/>
      <c r="E5212" s="19"/>
      <c r="F5212" s="19"/>
      <c r="G5212" s="20"/>
      <c r="H5212" s="68"/>
      <c r="I5212" s="17"/>
      <c r="J5212" s="28"/>
      <c r="K5212" s="17"/>
      <c r="L5212" s="649"/>
    </row>
    <row r="5213" spans="2:12" ht="15">
      <c r="B5213" s="773"/>
      <c r="C5213" s="19"/>
      <c r="D5213" s="19"/>
      <c r="E5213" s="19"/>
      <c r="F5213" s="19"/>
      <c r="G5213" s="20"/>
      <c r="H5213" s="68"/>
      <c r="I5213" s="17"/>
      <c r="J5213" s="28"/>
      <c r="K5213" s="17"/>
      <c r="L5213" s="649"/>
    </row>
    <row r="5214" spans="2:12" ht="15.75">
      <c r="B5214" s="981"/>
      <c r="C5214" s="982"/>
      <c r="D5214" s="982"/>
      <c r="E5214" s="982"/>
      <c r="F5214" s="982"/>
      <c r="G5214" s="982"/>
      <c r="H5214" s="982"/>
      <c r="I5214" s="982"/>
      <c r="J5214" s="982"/>
      <c r="K5214" s="982"/>
      <c r="L5214" s="983"/>
    </row>
    <row r="5215" spans="2:12">
      <c r="B5215" s="651"/>
      <c r="L5215" s="652"/>
    </row>
    <row r="5216" spans="2:12" ht="15.6" customHeight="1">
      <c r="B5216" s="638" t="s">
        <v>398</v>
      </c>
      <c r="C5216" s="8">
        <v>15</v>
      </c>
      <c r="D5216" s="1008" t="s">
        <v>1036</v>
      </c>
      <c r="E5216" s="1009"/>
      <c r="F5216" s="1009"/>
      <c r="G5216" s="1009"/>
      <c r="H5216" s="1009"/>
      <c r="I5216" s="1009"/>
      <c r="J5216" s="1009"/>
      <c r="K5216" s="1009"/>
      <c r="L5216" s="1010"/>
    </row>
    <row r="5217" spans="2:12" ht="15">
      <c r="B5217" s="1005"/>
      <c r="C5217" s="1006"/>
      <c r="D5217" s="1006"/>
      <c r="E5217" s="1006"/>
      <c r="F5217" s="1006"/>
      <c r="G5217" s="1006"/>
      <c r="H5217" s="1006"/>
      <c r="I5217" s="1006"/>
      <c r="J5217" s="1006"/>
      <c r="K5217" s="1006"/>
      <c r="L5217" s="1007"/>
    </row>
    <row r="5218" spans="2:12" ht="31.5">
      <c r="B5218" s="642" t="s">
        <v>399</v>
      </c>
      <c r="C5218" s="8">
        <f>+'PROPUESTA ECONOMICA(Proponente)'!C653</f>
        <v>15.2</v>
      </c>
      <c r="D5218" s="12" t="str">
        <f>+'PROPUESTA ECONOMICA(Proponente)'!G653</f>
        <v xml:space="preserve">Banca Samle con  konkretus, (Incluye suministro e instalación). </v>
      </c>
      <c r="E5218" s="13"/>
      <c r="F5218" s="12"/>
      <c r="G5218" s="12"/>
      <c r="H5218" s="12"/>
      <c r="I5218" s="11" t="s">
        <v>400</v>
      </c>
      <c r="J5218" s="12" t="str">
        <f>+VLOOKUP('MEMORIAS DE CANTIDADES'!C5218,'PROPUESTA ECONOMICA(Proponente)'!$C$379:$H$661,6,FALSE)</f>
        <v>M3</v>
      </c>
      <c r="K5218" s="11" t="s">
        <v>401</v>
      </c>
      <c r="L5218" s="643">
        <f>SUM(L5219:L5224)</f>
        <v>26</v>
      </c>
    </row>
    <row r="5219" spans="2:12" ht="15">
      <c r="B5219" s="644"/>
      <c r="C5219" s="16"/>
      <c r="D5219" s="15"/>
      <c r="E5219" s="15"/>
      <c r="F5219" s="15"/>
      <c r="G5219" s="15"/>
      <c r="H5219" s="15"/>
      <c r="I5219" s="15"/>
      <c r="J5219" s="15"/>
      <c r="K5219" s="17"/>
      <c r="L5219" s="645"/>
    </row>
    <row r="5220" spans="2:12" ht="47.25">
      <c r="B5220" s="646" t="s">
        <v>402</v>
      </c>
      <c r="C5220" s="18" t="s">
        <v>403</v>
      </c>
      <c r="D5220" s="18" t="s">
        <v>404</v>
      </c>
      <c r="E5220" s="18" t="s">
        <v>405</v>
      </c>
      <c r="F5220" s="18" t="s">
        <v>406</v>
      </c>
      <c r="G5220" s="18" t="s">
        <v>407</v>
      </c>
      <c r="H5220" s="5" t="s">
        <v>408</v>
      </c>
      <c r="I5220" s="18" t="s">
        <v>409</v>
      </c>
      <c r="J5220" s="5" t="s">
        <v>410</v>
      </c>
      <c r="K5220" s="5" t="s">
        <v>411</v>
      </c>
      <c r="L5220" s="647" t="s">
        <v>412</v>
      </c>
    </row>
    <row r="5221" spans="2:12" ht="15">
      <c r="B5221" s="773"/>
      <c r="C5221" s="19"/>
      <c r="D5221" s="19"/>
      <c r="E5221" s="19"/>
      <c r="F5221" s="19"/>
      <c r="G5221" s="20"/>
      <c r="H5221" s="68"/>
      <c r="I5221" s="17"/>
      <c r="J5221" s="28">
        <v>26</v>
      </c>
      <c r="K5221" s="17"/>
      <c r="L5221" s="649">
        <f>PRODUCT(C5221:K5221)</f>
        <v>26</v>
      </c>
    </row>
    <row r="5222" spans="2:12" ht="15">
      <c r="B5222" s="773"/>
      <c r="C5222" s="19"/>
      <c r="D5222" s="19"/>
      <c r="E5222" s="19"/>
      <c r="F5222" s="19"/>
      <c r="G5222" s="20"/>
      <c r="H5222" s="68"/>
      <c r="I5222" s="17" t="s">
        <v>873</v>
      </c>
      <c r="J5222" s="28">
        <v>8</v>
      </c>
      <c r="K5222" s="17"/>
      <c r="L5222" s="649"/>
    </row>
    <row r="5223" spans="2:12" ht="15">
      <c r="B5223" s="773"/>
      <c r="C5223" s="19"/>
      <c r="D5223" s="19"/>
      <c r="E5223" s="19"/>
      <c r="F5223" s="19"/>
      <c r="G5223" s="20"/>
      <c r="H5223" s="68"/>
      <c r="I5223" s="17"/>
      <c r="J5223" s="28"/>
      <c r="K5223" s="17"/>
      <c r="L5223" s="649"/>
    </row>
    <row r="5224" spans="2:12" ht="15.75">
      <c r="B5224" s="981"/>
      <c r="C5224" s="982"/>
      <c r="D5224" s="982"/>
      <c r="E5224" s="982"/>
      <c r="F5224" s="982"/>
      <c r="G5224" s="982"/>
      <c r="H5224" s="982"/>
      <c r="I5224" s="982"/>
      <c r="J5224" s="982"/>
      <c r="K5224" s="982"/>
      <c r="L5224" s="983"/>
    </row>
    <row r="5225" spans="2:12">
      <c r="B5225" s="651"/>
      <c r="L5225" s="652"/>
    </row>
    <row r="5226" spans="2:12" ht="15.6" customHeight="1">
      <c r="B5226" s="638" t="s">
        <v>398</v>
      </c>
      <c r="C5226" s="8">
        <v>15</v>
      </c>
      <c r="D5226" s="1008" t="s">
        <v>1036</v>
      </c>
      <c r="E5226" s="1009"/>
      <c r="F5226" s="1009"/>
      <c r="G5226" s="1009"/>
      <c r="H5226" s="1009"/>
      <c r="I5226" s="1009"/>
      <c r="J5226" s="1009"/>
      <c r="K5226" s="1009"/>
      <c r="L5226" s="1010"/>
    </row>
    <row r="5227" spans="2:12" ht="15">
      <c r="B5227" s="1005"/>
      <c r="C5227" s="1006"/>
      <c r="D5227" s="1006"/>
      <c r="E5227" s="1006"/>
      <c r="F5227" s="1006"/>
      <c r="G5227" s="1006"/>
      <c r="H5227" s="1006"/>
      <c r="I5227" s="1006"/>
      <c r="J5227" s="1006"/>
      <c r="K5227" s="1006"/>
      <c r="L5227" s="1007"/>
    </row>
    <row r="5228" spans="2:12" ht="15">
      <c r="B5228" s="1005"/>
      <c r="C5228" s="1006"/>
      <c r="D5228" s="1006"/>
      <c r="E5228" s="1006"/>
      <c r="F5228" s="1006"/>
      <c r="G5228" s="1006"/>
      <c r="H5228" s="1006"/>
      <c r="I5228" s="1006"/>
      <c r="J5228" s="1006"/>
      <c r="K5228" s="1006"/>
      <c r="L5228" s="1007"/>
    </row>
    <row r="5229" spans="2:12" ht="31.5">
      <c r="B5229" s="642" t="s">
        <v>399</v>
      </c>
      <c r="C5229" s="8">
        <v>15.21</v>
      </c>
      <c r="D5229" s="12" t="str">
        <f>+VLOOKUP('MEMORIAS DE CANTIDADES'!C5229,'PROPUESTA ECONOMICA(Proponente)'!$C$379:$H$661,5,FALSE)</f>
        <v xml:space="preserve">Caneca tipo m120 en malla metálica inoxidable, (Incluye suministro e instalación). </v>
      </c>
      <c r="E5229" s="13"/>
      <c r="F5229" s="12"/>
      <c r="G5229" s="12"/>
      <c r="H5229" s="12"/>
      <c r="I5229" s="11" t="s">
        <v>400</v>
      </c>
      <c r="J5229" s="12" t="str">
        <f>+VLOOKUP('MEMORIAS DE CANTIDADES'!C5229,'PROPUESTA ECONOMICA(Proponente)'!$C$379:$H$661,6,FALSE)</f>
        <v>UN</v>
      </c>
      <c r="K5229" s="11" t="s">
        <v>401</v>
      </c>
      <c r="L5229" s="643">
        <f>SUM(L5230:L5235)</f>
        <v>12</v>
      </c>
    </row>
    <row r="5230" spans="2:12" ht="15">
      <c r="B5230" s="644"/>
      <c r="C5230" s="16"/>
      <c r="D5230" s="15"/>
      <c r="E5230" s="15"/>
      <c r="F5230" s="15"/>
      <c r="G5230" s="15"/>
      <c r="H5230" s="15"/>
      <c r="I5230" s="15"/>
      <c r="J5230" s="15"/>
      <c r="K5230" s="17"/>
      <c r="L5230" s="645"/>
    </row>
    <row r="5231" spans="2:12" ht="47.25">
      <c r="B5231" s="646" t="s">
        <v>402</v>
      </c>
      <c r="C5231" s="18" t="s">
        <v>403</v>
      </c>
      <c r="D5231" s="18" t="s">
        <v>404</v>
      </c>
      <c r="E5231" s="18" t="s">
        <v>405</v>
      </c>
      <c r="F5231" s="18" t="s">
        <v>406</v>
      </c>
      <c r="G5231" s="18" t="s">
        <v>407</v>
      </c>
      <c r="H5231" s="5" t="s">
        <v>408</v>
      </c>
      <c r="I5231" s="18" t="s">
        <v>409</v>
      </c>
      <c r="J5231" s="5" t="s">
        <v>410</v>
      </c>
      <c r="K5231" s="5" t="s">
        <v>411</v>
      </c>
      <c r="L5231" s="647" t="s">
        <v>412</v>
      </c>
    </row>
    <row r="5232" spans="2:12" ht="15">
      <c r="B5232" s="773"/>
      <c r="C5232" s="19"/>
      <c r="D5232" s="19"/>
      <c r="E5232" s="19"/>
      <c r="F5232" s="19"/>
      <c r="G5232" s="20"/>
      <c r="H5232" s="68"/>
      <c r="I5232" s="17"/>
      <c r="J5232" s="28">
        <v>12</v>
      </c>
      <c r="K5232" s="17"/>
      <c r="L5232" s="649">
        <f>PRODUCT(C5232:K5232)</f>
        <v>12</v>
      </c>
    </row>
    <row r="5233" spans="2:12" ht="15">
      <c r="B5233" s="773"/>
      <c r="C5233" s="19"/>
      <c r="D5233" s="19"/>
      <c r="E5233" s="19"/>
      <c r="F5233" s="19"/>
      <c r="G5233" s="20"/>
      <c r="H5233" s="68"/>
      <c r="I5233" s="17"/>
      <c r="J5233" s="28"/>
      <c r="K5233" s="17"/>
      <c r="L5233" s="649"/>
    </row>
    <row r="5234" spans="2:12" ht="15">
      <c r="B5234" s="773"/>
      <c r="C5234" s="19"/>
      <c r="D5234" s="19"/>
      <c r="E5234" s="19"/>
      <c r="F5234" s="19"/>
      <c r="G5234" s="20"/>
      <c r="H5234" s="68"/>
      <c r="I5234" s="17"/>
      <c r="J5234" s="28"/>
      <c r="K5234" s="17"/>
      <c r="L5234" s="649"/>
    </row>
    <row r="5235" spans="2:12" ht="15.75">
      <c r="B5235" s="981"/>
      <c r="C5235" s="982"/>
      <c r="D5235" s="982"/>
      <c r="E5235" s="982"/>
      <c r="F5235" s="982"/>
      <c r="G5235" s="982"/>
      <c r="H5235" s="982"/>
      <c r="I5235" s="982"/>
      <c r="J5235" s="982"/>
      <c r="K5235" s="982"/>
      <c r="L5235" s="983"/>
    </row>
    <row r="5236" spans="2:12">
      <c r="B5236" s="651"/>
      <c r="L5236" s="652"/>
    </row>
    <row r="5237" spans="2:12" ht="15.6" customHeight="1">
      <c r="B5237" s="638" t="s">
        <v>398</v>
      </c>
      <c r="C5237" s="8">
        <v>15</v>
      </c>
      <c r="D5237" s="1008" t="s">
        <v>1036</v>
      </c>
      <c r="E5237" s="1009"/>
      <c r="F5237" s="1009"/>
      <c r="G5237" s="1009"/>
      <c r="H5237" s="1009"/>
      <c r="I5237" s="1009"/>
      <c r="J5237" s="1009"/>
      <c r="K5237" s="1009"/>
      <c r="L5237" s="1010"/>
    </row>
    <row r="5238" spans="2:12" ht="15">
      <c r="B5238" s="1005"/>
      <c r="C5238" s="1006"/>
      <c r="D5238" s="1006"/>
      <c r="E5238" s="1006"/>
      <c r="F5238" s="1006"/>
      <c r="G5238" s="1006"/>
      <c r="H5238" s="1006"/>
      <c r="I5238" s="1006"/>
      <c r="J5238" s="1006"/>
      <c r="K5238" s="1006"/>
      <c r="L5238" s="1007"/>
    </row>
    <row r="5239" spans="2:12" ht="141.75">
      <c r="B5239" s="642" t="s">
        <v>399</v>
      </c>
      <c r="C5239" s="8">
        <f>+'PROPUESTA ECONOMICA(Proponente)'!C655</f>
        <v>15.22</v>
      </c>
      <c r="D5239" s="12" t="str">
        <f>+VLOOKUP('MEMORIAS DE CANTIDADES'!C5239,'PROPUESTA ECONOMICA(Proponente)'!$C$379:$H$661,5,FALSE)</f>
        <v>Suministro e instalacion de juegos didacticos en madera  ( incluyen columpios de madera de 3 canastas,un trompo metalico, sube y baja doble en madera,  1 parque infantil de madera conformado por  2 resbaladeros de fibra de vidrio, 1 puente colgante, 1 barra para colgarse, 1 barra de pasamanos, 1 columpio de 3 canastas y 3 modulos miradores con techo)-incl. colocacion</v>
      </c>
      <c r="E5239" s="13"/>
      <c r="F5239" s="12"/>
      <c r="G5239" s="12"/>
      <c r="H5239" s="12"/>
      <c r="I5239" s="11" t="s">
        <v>400</v>
      </c>
      <c r="J5239" s="12" t="str">
        <f>+VLOOKUP('MEMORIAS DE CANTIDADES'!C5239,'PROPUESTA ECONOMICA(Proponente)'!$C$379:$H$661,6,FALSE)</f>
        <v>UN</v>
      </c>
      <c r="K5239" s="11" t="s">
        <v>401</v>
      </c>
      <c r="L5239" s="643">
        <f>SUM(L5240:L5245)</f>
        <v>1</v>
      </c>
    </row>
    <row r="5240" spans="2:12" ht="15">
      <c r="B5240" s="644"/>
      <c r="C5240" s="16"/>
      <c r="D5240" s="15"/>
      <c r="E5240" s="15"/>
      <c r="F5240" s="15"/>
      <c r="G5240" s="15"/>
      <c r="H5240" s="15"/>
      <c r="I5240" s="15"/>
      <c r="J5240" s="15"/>
      <c r="K5240" s="17"/>
      <c r="L5240" s="645"/>
    </row>
    <row r="5241" spans="2:12" ht="47.25">
      <c r="B5241" s="646" t="s">
        <v>402</v>
      </c>
      <c r="C5241" s="18" t="s">
        <v>403</v>
      </c>
      <c r="D5241" s="18" t="s">
        <v>404</v>
      </c>
      <c r="E5241" s="18" t="s">
        <v>405</v>
      </c>
      <c r="F5241" s="18" t="s">
        <v>406</v>
      </c>
      <c r="G5241" s="18" t="s">
        <v>407</v>
      </c>
      <c r="H5241" s="5" t="s">
        <v>408</v>
      </c>
      <c r="I5241" s="18" t="s">
        <v>409</v>
      </c>
      <c r="J5241" s="5" t="s">
        <v>410</v>
      </c>
      <c r="K5241" s="5" t="s">
        <v>411</v>
      </c>
      <c r="L5241" s="647" t="s">
        <v>412</v>
      </c>
    </row>
    <row r="5242" spans="2:12" ht="15">
      <c r="B5242" s="773" t="s">
        <v>579</v>
      </c>
      <c r="C5242" s="19"/>
      <c r="D5242" s="19"/>
      <c r="E5242" s="19"/>
      <c r="F5242" s="19"/>
      <c r="G5242" s="20"/>
      <c r="H5242" s="68"/>
      <c r="I5242" s="17"/>
      <c r="J5242" s="28">
        <v>1</v>
      </c>
      <c r="K5242" s="17"/>
      <c r="L5242" s="649">
        <f>PRODUCT(C5242:K5242)</f>
        <v>1</v>
      </c>
    </row>
    <row r="5243" spans="2:12" ht="15">
      <c r="B5243" s="773"/>
      <c r="C5243" s="19"/>
      <c r="D5243" s="19"/>
      <c r="E5243" s="19"/>
      <c r="F5243" s="19"/>
      <c r="G5243" s="20"/>
      <c r="H5243" s="68"/>
      <c r="I5243" s="17"/>
      <c r="J5243" s="28"/>
      <c r="K5243" s="17"/>
      <c r="L5243" s="649"/>
    </row>
    <row r="5244" spans="2:12" ht="15">
      <c r="B5244" s="773"/>
      <c r="C5244" s="19"/>
      <c r="D5244" s="19"/>
      <c r="E5244" s="19"/>
      <c r="F5244" s="19"/>
      <c r="G5244" s="20"/>
      <c r="H5244" s="68"/>
      <c r="I5244" s="17"/>
      <c r="J5244" s="28"/>
      <c r="K5244" s="17"/>
      <c r="L5244" s="649"/>
    </row>
    <row r="5245" spans="2:12" ht="15.75">
      <c r="B5245" s="981"/>
      <c r="C5245" s="982"/>
      <c r="D5245" s="982"/>
      <c r="E5245" s="982"/>
      <c r="F5245" s="982"/>
      <c r="G5245" s="982"/>
      <c r="H5245" s="982"/>
      <c r="I5245" s="982"/>
      <c r="J5245" s="982"/>
      <c r="K5245" s="982"/>
      <c r="L5245" s="983"/>
    </row>
    <row r="5246" spans="2:12">
      <c r="B5246" s="651"/>
      <c r="L5246" s="652"/>
    </row>
    <row r="5247" spans="2:12" ht="31.5">
      <c r="B5247" s="638" t="s">
        <v>398</v>
      </c>
      <c r="C5247" s="8">
        <v>15</v>
      </c>
      <c r="D5247" s="7" t="s">
        <v>1036</v>
      </c>
      <c r="E5247" s="7"/>
      <c r="F5247" s="7"/>
      <c r="G5247" s="7"/>
      <c r="H5247" s="7"/>
      <c r="I5247" s="7"/>
      <c r="J5247" s="7"/>
      <c r="K5247" s="27"/>
      <c r="L5247" s="750"/>
    </row>
    <row r="5248" spans="2:12" ht="15">
      <c r="B5248" s="1005"/>
      <c r="C5248" s="1006"/>
      <c r="D5248" s="1006"/>
      <c r="E5248" s="1006"/>
      <c r="F5248" s="1006"/>
      <c r="G5248" s="1006"/>
      <c r="H5248" s="1006"/>
      <c r="I5248" s="1006"/>
      <c r="J5248" s="1006"/>
      <c r="K5248" s="1006"/>
      <c r="L5248" s="1007"/>
    </row>
    <row r="5249" spans="2:12" ht="78.75">
      <c r="B5249" s="642" t="s">
        <v>399</v>
      </c>
      <c r="C5249" s="8">
        <f>+'PROPUESTA ECONOMICA(Proponente)'!C656</f>
        <v>15.23</v>
      </c>
      <c r="D5249" s="12" t="str">
        <f>+VLOOKUP('MEMORIAS DE CANTIDADES'!C5249,'PROPUESTA ECONOMICA(Proponente)'!$C$379:$H$661,5,FALSE)</f>
        <v>Suministro e instalación de sonorización de espacios (incluyes: Altavoz de Bocina, Amp. Behringer, Procesador de Audio DBX, Microfonía Inalámbrica Shure, y cables de conexiones)..</v>
      </c>
      <c r="E5249" s="13"/>
      <c r="F5249" s="12"/>
      <c r="G5249" s="12"/>
      <c r="H5249" s="12"/>
      <c r="I5249" s="11" t="s">
        <v>400</v>
      </c>
      <c r="J5249" s="12" t="str">
        <f>+VLOOKUP('MEMORIAS DE CANTIDADES'!C5249,'PROPUESTA ECONOMICA(Proponente)'!$C$379:$H$661,6,FALSE)</f>
        <v>UN</v>
      </c>
      <c r="K5249" s="11" t="s">
        <v>401</v>
      </c>
      <c r="L5249" s="643">
        <f>SUM(L5250:L5255)</f>
        <v>1</v>
      </c>
    </row>
    <row r="5250" spans="2:12" ht="15">
      <c r="B5250" s="644"/>
      <c r="C5250" s="16"/>
      <c r="D5250" s="15"/>
      <c r="E5250" s="15"/>
      <c r="F5250" s="15"/>
      <c r="G5250" s="15"/>
      <c r="H5250" s="15"/>
      <c r="I5250" s="15"/>
      <c r="J5250" s="15"/>
      <c r="K5250" s="17"/>
      <c r="L5250" s="645"/>
    </row>
    <row r="5251" spans="2:12" ht="47.25">
      <c r="B5251" s="646" t="s">
        <v>402</v>
      </c>
      <c r="C5251" s="18" t="s">
        <v>403</v>
      </c>
      <c r="D5251" s="18" t="s">
        <v>404</v>
      </c>
      <c r="E5251" s="18" t="s">
        <v>405</v>
      </c>
      <c r="F5251" s="18" t="s">
        <v>406</v>
      </c>
      <c r="G5251" s="18" t="s">
        <v>407</v>
      </c>
      <c r="H5251" s="5" t="s">
        <v>408</v>
      </c>
      <c r="I5251" s="18" t="s">
        <v>409</v>
      </c>
      <c r="J5251" s="5" t="s">
        <v>410</v>
      </c>
      <c r="K5251" s="5" t="s">
        <v>411</v>
      </c>
      <c r="L5251" s="647" t="s">
        <v>412</v>
      </c>
    </row>
    <row r="5252" spans="2:12" ht="15">
      <c r="B5252" s="773"/>
      <c r="C5252" s="19"/>
      <c r="D5252" s="19"/>
      <c r="E5252" s="19"/>
      <c r="F5252" s="19"/>
      <c r="G5252" s="20"/>
      <c r="H5252" s="68"/>
      <c r="I5252" s="17"/>
      <c r="J5252" s="28">
        <v>1</v>
      </c>
      <c r="K5252" s="17"/>
      <c r="L5252" s="649">
        <f>PRODUCT(C5252:K5252)</f>
        <v>1</v>
      </c>
    </row>
    <row r="5253" spans="2:12" ht="15">
      <c r="B5253" s="773"/>
      <c r="C5253" s="19"/>
      <c r="D5253" s="19"/>
      <c r="E5253" s="19"/>
      <c r="F5253" s="19"/>
      <c r="G5253" s="20"/>
      <c r="H5253" s="68"/>
      <c r="I5253" s="17"/>
      <c r="J5253" s="28"/>
      <c r="K5253" s="17"/>
      <c r="L5253" s="649"/>
    </row>
    <row r="5254" spans="2:12" ht="15">
      <c r="B5254" s="773"/>
      <c r="C5254" s="19"/>
      <c r="D5254" s="19"/>
      <c r="E5254" s="19"/>
      <c r="F5254" s="19"/>
      <c r="G5254" s="20"/>
      <c r="H5254" s="68"/>
      <c r="I5254" s="17"/>
      <c r="J5254" s="28"/>
      <c r="K5254" s="17"/>
      <c r="L5254" s="649"/>
    </row>
    <row r="5255" spans="2:12" ht="15.75">
      <c r="B5255" s="981"/>
      <c r="C5255" s="982"/>
      <c r="D5255" s="982"/>
      <c r="E5255" s="982"/>
      <c r="F5255" s="982"/>
      <c r="G5255" s="982"/>
      <c r="H5255" s="982"/>
      <c r="I5255" s="982"/>
      <c r="J5255" s="982"/>
      <c r="K5255" s="982"/>
      <c r="L5255" s="983"/>
    </row>
    <row r="5256" spans="2:12">
      <c r="B5256" s="651"/>
      <c r="L5256" s="652"/>
    </row>
    <row r="5257" spans="2:12" ht="15.6" customHeight="1">
      <c r="B5257" s="638" t="s">
        <v>398</v>
      </c>
      <c r="C5257" s="8">
        <v>16</v>
      </c>
      <c r="D5257" s="1008" t="s">
        <v>1037</v>
      </c>
      <c r="E5257" s="1009"/>
      <c r="F5257" s="1009"/>
      <c r="G5257" s="1009"/>
      <c r="H5257" s="1009"/>
      <c r="I5257" s="1009"/>
      <c r="J5257" s="1009"/>
      <c r="K5257" s="1009"/>
      <c r="L5257" s="1010"/>
    </row>
    <row r="5258" spans="2:12" ht="15">
      <c r="B5258" s="1005"/>
      <c r="C5258" s="1006"/>
      <c r="D5258" s="1006"/>
      <c r="E5258" s="1006"/>
      <c r="F5258" s="1006"/>
      <c r="G5258" s="1006"/>
      <c r="H5258" s="1006"/>
      <c r="I5258" s="1006"/>
      <c r="J5258" s="1006"/>
      <c r="K5258" s="1006"/>
      <c r="L5258" s="1007"/>
    </row>
    <row r="5259" spans="2:12" ht="63">
      <c r="B5259" s="642" t="s">
        <v>399</v>
      </c>
      <c r="C5259" s="25">
        <f>+'PROPUESTA ECONOMICA(Proponente)'!C659</f>
        <v>16.100000000000001</v>
      </c>
      <c r="D5259" s="12" t="str">
        <f>+VLOOKUP('MEMORIAS DE CANTIDADES'!C5259,'PROPUESTA ECONOMICA(Proponente)'!$C$379:$H$661,5,FALSE)</f>
        <v>Suministro e instalación de  señalización en acrílico de cristal de 30 cm x 15 cm y 5mm de espesor (incluye dilatadores de soporte en aluminio).</v>
      </c>
      <c r="E5259" s="13"/>
      <c r="F5259" s="12"/>
      <c r="G5259" s="12"/>
      <c r="H5259" s="12"/>
      <c r="I5259" s="11" t="s">
        <v>400</v>
      </c>
      <c r="J5259" s="12" t="str">
        <f>+VLOOKUP('MEMORIAS DE CANTIDADES'!C5259,'PROPUESTA ECONOMICA(Proponente)'!$C$379:$H$661,6,FALSE)</f>
        <v>UN</v>
      </c>
      <c r="K5259" s="11" t="s">
        <v>401</v>
      </c>
      <c r="L5259" s="643">
        <f>SUM(L5260:L5268)</f>
        <v>13</v>
      </c>
    </row>
    <row r="5260" spans="2:12" ht="15">
      <c r="B5260" s="644"/>
      <c r="C5260" s="16"/>
      <c r="D5260" s="15"/>
      <c r="E5260" s="15"/>
      <c r="F5260" s="15"/>
      <c r="G5260" s="15"/>
      <c r="H5260" s="15"/>
      <c r="I5260" s="15"/>
      <c r="J5260" s="15"/>
      <c r="K5260" s="17"/>
      <c r="L5260" s="645"/>
    </row>
    <row r="5261" spans="2:12" ht="47.25">
      <c r="B5261" s="646" t="s">
        <v>402</v>
      </c>
      <c r="C5261" s="18" t="s">
        <v>403</v>
      </c>
      <c r="D5261" s="18" t="s">
        <v>404</v>
      </c>
      <c r="E5261" s="18" t="s">
        <v>405</v>
      </c>
      <c r="F5261" s="18" t="s">
        <v>406</v>
      </c>
      <c r="G5261" s="18" t="s">
        <v>407</v>
      </c>
      <c r="H5261" s="5" t="s">
        <v>408</v>
      </c>
      <c r="I5261" s="18" t="s">
        <v>409</v>
      </c>
      <c r="J5261" s="5" t="s">
        <v>410</v>
      </c>
      <c r="K5261" s="5" t="s">
        <v>411</v>
      </c>
      <c r="L5261" s="647" t="s">
        <v>412</v>
      </c>
    </row>
    <row r="5262" spans="2:12" ht="15">
      <c r="B5262" s="773" t="s">
        <v>580</v>
      </c>
      <c r="C5262" s="19"/>
      <c r="D5262" s="19"/>
      <c r="E5262" s="19"/>
      <c r="F5262" s="19"/>
      <c r="G5262" s="20"/>
      <c r="H5262" s="68"/>
      <c r="I5262" s="17"/>
      <c r="J5262" s="28">
        <v>2</v>
      </c>
      <c r="K5262" s="17"/>
      <c r="L5262" s="649">
        <f>PRODUCT(C5262:K5262)</f>
        <v>2</v>
      </c>
    </row>
    <row r="5263" spans="2:12" ht="15">
      <c r="B5263" s="773" t="s">
        <v>581</v>
      </c>
      <c r="C5263" s="19"/>
      <c r="D5263" s="19"/>
      <c r="E5263" s="19"/>
      <c r="F5263" s="19"/>
      <c r="G5263" s="20"/>
      <c r="H5263" s="68"/>
      <c r="I5263" s="17"/>
      <c r="J5263" s="28">
        <v>2</v>
      </c>
      <c r="K5263" s="17"/>
      <c r="L5263" s="649">
        <f t="shared" ref="L5263:L5265" si="377">PRODUCT(C5263:K5263)</f>
        <v>2</v>
      </c>
    </row>
    <row r="5264" spans="2:12" ht="15">
      <c r="B5264" s="856" t="s">
        <v>852</v>
      </c>
      <c r="C5264" s="73"/>
      <c r="D5264" s="73"/>
      <c r="E5264" s="73"/>
      <c r="F5264" s="73"/>
      <c r="G5264" s="180"/>
      <c r="H5264" s="181"/>
      <c r="I5264" s="182"/>
      <c r="J5264" s="38">
        <v>3</v>
      </c>
      <c r="K5264" s="182"/>
      <c r="L5264" s="669">
        <f t="shared" si="377"/>
        <v>3</v>
      </c>
    </row>
    <row r="5265" spans="2:12" ht="15.6" customHeight="1">
      <c r="B5265" s="773" t="s">
        <v>582</v>
      </c>
      <c r="C5265" s="19"/>
      <c r="D5265" s="19"/>
      <c r="E5265" s="19"/>
      <c r="F5265" s="19"/>
      <c r="G5265" s="20"/>
      <c r="H5265" s="68"/>
      <c r="I5265" s="17"/>
      <c r="J5265" s="28">
        <v>6</v>
      </c>
      <c r="K5265" s="17"/>
      <c r="L5265" s="649">
        <f t="shared" si="377"/>
        <v>6</v>
      </c>
    </row>
    <row r="5266" spans="2:12" ht="15">
      <c r="B5266" s="773"/>
      <c r="C5266" s="19"/>
      <c r="D5266" s="19"/>
      <c r="E5266" s="19"/>
      <c r="F5266" s="19"/>
      <c r="G5266" s="20"/>
      <c r="H5266" s="68"/>
      <c r="I5266" s="17"/>
      <c r="J5266" s="28"/>
      <c r="K5266" s="17"/>
      <c r="L5266" s="649"/>
    </row>
    <row r="5267" spans="2:12" ht="15">
      <c r="B5267" s="655"/>
      <c r="C5267" s="19"/>
      <c r="D5267" s="19"/>
      <c r="E5267" s="19"/>
      <c r="F5267" s="19"/>
      <c r="G5267" s="20"/>
      <c r="H5267" s="68"/>
      <c r="I5267" s="17"/>
      <c r="J5267" s="28"/>
      <c r="K5267" s="17"/>
      <c r="L5267" s="649"/>
    </row>
    <row r="5268" spans="2:12" ht="15.75">
      <c r="B5268" s="981"/>
      <c r="C5268" s="982"/>
      <c r="D5268" s="982"/>
      <c r="E5268" s="982"/>
      <c r="F5268" s="982"/>
      <c r="G5268" s="982"/>
      <c r="H5268" s="982"/>
      <c r="I5268" s="982"/>
      <c r="J5268" s="982"/>
      <c r="K5268" s="982"/>
      <c r="L5268" s="983"/>
    </row>
    <row r="5269" spans="2:12">
      <c r="B5269" s="651"/>
      <c r="L5269" s="652"/>
    </row>
    <row r="5270" spans="2:12" ht="15.6" customHeight="1">
      <c r="B5270" s="638" t="s">
        <v>398</v>
      </c>
      <c r="C5270" s="8">
        <v>16</v>
      </c>
      <c r="D5270" s="1008" t="s">
        <v>1037</v>
      </c>
      <c r="E5270" s="1009"/>
      <c r="F5270" s="1009"/>
      <c r="G5270" s="1009"/>
      <c r="H5270" s="1009"/>
      <c r="I5270" s="1009"/>
      <c r="J5270" s="1009"/>
      <c r="K5270" s="1009"/>
      <c r="L5270" s="1010"/>
    </row>
    <row r="5271" spans="2:12" ht="15">
      <c r="B5271" s="1005"/>
      <c r="C5271" s="1006"/>
      <c r="D5271" s="1006"/>
      <c r="E5271" s="1006"/>
      <c r="F5271" s="1006"/>
      <c r="G5271" s="1006"/>
      <c r="H5271" s="1006"/>
      <c r="I5271" s="1006"/>
      <c r="J5271" s="1006"/>
      <c r="K5271" s="1006"/>
      <c r="L5271" s="1007"/>
    </row>
    <row r="5272" spans="2:12" ht="63">
      <c r="B5272" s="642" t="s">
        <v>399</v>
      </c>
      <c r="C5272" s="25">
        <f>+'PROPUESTA ECONOMICA(Proponente)'!C660</f>
        <v>16.2</v>
      </c>
      <c r="D5272" s="12" t="str">
        <f>+VLOOKUP('MEMORIAS DE CANTIDADES'!C5272,'PROPUESTA ECONOMICA(Proponente)'!$C$379:$H$661,5,FALSE)</f>
        <v>Suministro e instalación de letras en acrílico de cristal del nombre del estadio de color y dimensiones de acuerdo a diseño (incluye instalación).</v>
      </c>
      <c r="E5272" s="13"/>
      <c r="F5272" s="12"/>
      <c r="G5272" s="12"/>
      <c r="H5272" s="12"/>
      <c r="I5272" s="11" t="s">
        <v>400</v>
      </c>
      <c r="J5272" s="12" t="str">
        <f>+VLOOKUP('MEMORIAS DE CANTIDADES'!C5272,'PROPUESTA ECONOMICA(Proponente)'!$C$379:$H$661,6,FALSE)</f>
        <v>UN</v>
      </c>
      <c r="K5272" s="11" t="s">
        <v>401</v>
      </c>
      <c r="L5272" s="643">
        <f>SUM(L5273:L5281)</f>
        <v>90</v>
      </c>
    </row>
    <row r="5273" spans="2:12" ht="15">
      <c r="B5273" s="644"/>
      <c r="C5273" s="16"/>
      <c r="D5273" s="15"/>
      <c r="E5273" s="15"/>
      <c r="F5273" s="15"/>
      <c r="G5273" s="15"/>
      <c r="H5273" s="15"/>
      <c r="I5273" s="15"/>
      <c r="J5273" s="15"/>
      <c r="K5273" s="17"/>
      <c r="L5273" s="645"/>
    </row>
    <row r="5274" spans="2:12" ht="47.25">
      <c r="B5274" s="646" t="s">
        <v>402</v>
      </c>
      <c r="C5274" s="18" t="s">
        <v>403</v>
      </c>
      <c r="D5274" s="18" t="s">
        <v>404</v>
      </c>
      <c r="E5274" s="18" t="s">
        <v>405</v>
      </c>
      <c r="F5274" s="18" t="s">
        <v>406</v>
      </c>
      <c r="G5274" s="18" t="s">
        <v>407</v>
      </c>
      <c r="H5274" s="5" t="s">
        <v>408</v>
      </c>
      <c r="I5274" s="18" t="s">
        <v>409</v>
      </c>
      <c r="J5274" s="5" t="s">
        <v>410</v>
      </c>
      <c r="K5274" s="5" t="s">
        <v>411</v>
      </c>
      <c r="L5274" s="647" t="s">
        <v>412</v>
      </c>
    </row>
    <row r="5275" spans="2:12" ht="15">
      <c r="B5275" s="773" t="s">
        <v>438</v>
      </c>
      <c r="C5275" s="19"/>
      <c r="D5275" s="19"/>
      <c r="E5275" s="19"/>
      <c r="F5275" s="19"/>
      <c r="G5275" s="20"/>
      <c r="H5275" s="68"/>
      <c r="I5275" s="17">
        <v>30</v>
      </c>
      <c r="J5275" s="28">
        <v>1</v>
      </c>
      <c r="K5275" s="17"/>
      <c r="L5275" s="649">
        <f>PRODUCT(C5275:K5275)</f>
        <v>30</v>
      </c>
    </row>
    <row r="5276" spans="2:12" ht="15">
      <c r="B5276" s="773" t="s">
        <v>464</v>
      </c>
      <c r="C5276" s="19"/>
      <c r="D5276" s="19"/>
      <c r="E5276" s="19"/>
      <c r="F5276" s="19"/>
      <c r="G5276" s="20"/>
      <c r="H5276" s="68"/>
      <c r="I5276" s="17">
        <v>30</v>
      </c>
      <c r="J5276" s="28">
        <v>2</v>
      </c>
      <c r="K5276" s="17"/>
      <c r="L5276" s="649">
        <f>PRODUCT(C5276:K5276)</f>
        <v>60</v>
      </c>
    </row>
    <row r="5277" spans="2:12" ht="15">
      <c r="B5277" s="773"/>
      <c r="C5277" s="19"/>
      <c r="D5277" s="19"/>
      <c r="E5277" s="19"/>
      <c r="F5277" s="19"/>
      <c r="G5277" s="20"/>
      <c r="H5277" s="68"/>
      <c r="I5277" s="17"/>
      <c r="J5277" s="28"/>
      <c r="K5277" s="17"/>
      <c r="L5277" s="649"/>
    </row>
    <row r="5278" spans="2:12" ht="15">
      <c r="B5278" s="773"/>
      <c r="C5278" s="19"/>
      <c r="D5278" s="19"/>
      <c r="E5278" s="19"/>
      <c r="F5278" s="19"/>
      <c r="G5278" s="20"/>
      <c r="H5278" s="68"/>
      <c r="I5278" s="17"/>
      <c r="J5278" s="28"/>
      <c r="K5278" s="17"/>
      <c r="L5278" s="649"/>
    </row>
    <row r="5279" spans="2:12" ht="15">
      <c r="B5279" s="773"/>
      <c r="C5279" s="19"/>
      <c r="D5279" s="19"/>
      <c r="E5279" s="19"/>
      <c r="F5279" s="19"/>
      <c r="G5279" s="20"/>
      <c r="H5279" s="68"/>
      <c r="I5279" s="17"/>
      <c r="J5279" s="28"/>
      <c r="K5279" s="17"/>
      <c r="L5279" s="649"/>
    </row>
    <row r="5280" spans="2:12" ht="70.150000000000006" customHeight="1">
      <c r="B5280" s="655"/>
      <c r="C5280" s="19"/>
      <c r="D5280" s="19"/>
      <c r="E5280" s="19"/>
      <c r="F5280" s="19"/>
      <c r="G5280" s="20"/>
      <c r="H5280" s="68"/>
      <c r="I5280" s="17"/>
      <c r="J5280" s="28"/>
      <c r="K5280" s="17"/>
      <c r="L5280" s="649"/>
    </row>
    <row r="5281" spans="2:12" ht="15.75">
      <c r="B5281" s="981"/>
      <c r="C5281" s="982"/>
      <c r="D5281" s="982"/>
      <c r="E5281" s="982"/>
      <c r="F5281" s="982"/>
      <c r="G5281" s="982"/>
      <c r="H5281" s="982"/>
      <c r="I5281" s="982"/>
      <c r="J5281" s="982"/>
      <c r="K5281" s="982"/>
      <c r="L5281" s="983"/>
    </row>
    <row r="5282" spans="2:12">
      <c r="B5282" s="651"/>
      <c r="L5282" s="652"/>
    </row>
    <row r="5283" spans="2:12">
      <c r="B5283" s="651"/>
      <c r="L5283" s="652"/>
    </row>
    <row r="5284" spans="2:12">
      <c r="B5284" s="978" t="s">
        <v>1013</v>
      </c>
      <c r="C5284" s="979"/>
      <c r="D5284" s="979"/>
      <c r="E5284" s="979"/>
      <c r="F5284" s="979"/>
      <c r="G5284" s="979"/>
      <c r="H5284" s="979"/>
      <c r="I5284" s="979"/>
      <c r="J5284" s="979"/>
      <c r="K5284" s="979"/>
      <c r="L5284" s="980"/>
    </row>
    <row r="5285" spans="2:12" ht="15">
      <c r="B5285" s="651"/>
      <c r="C5285" s="448"/>
      <c r="D5285" s="448"/>
      <c r="E5285" s="448"/>
      <c r="F5285" s="448"/>
      <c r="G5285" s="449"/>
      <c r="H5285" s="450"/>
      <c r="I5285" s="774"/>
      <c r="J5285" s="775"/>
      <c r="K5285" s="774"/>
      <c r="L5285" s="776"/>
    </row>
    <row r="5286" spans="2:12" ht="31.5">
      <c r="B5286" s="642" t="s">
        <v>399</v>
      </c>
      <c r="C5286" s="25">
        <v>15.2</v>
      </c>
      <c r="D5286" s="12" t="str">
        <f>+'PROPUESTA ECONOMICA(Proponente)'!G704</f>
        <v>Suministro e instalacion de sardinel tipo U10, incluye 3cm de mortero 1:4</v>
      </c>
      <c r="E5286" s="13"/>
      <c r="F5286" s="12"/>
      <c r="G5286" s="12"/>
      <c r="H5286" s="12"/>
      <c r="I5286" s="11" t="s">
        <v>400</v>
      </c>
      <c r="J5286" s="12" t="s">
        <v>1045</v>
      </c>
      <c r="K5286" s="11" t="s">
        <v>401</v>
      </c>
      <c r="L5286" s="643">
        <f>+SUM(L5289:L5309)</f>
        <v>2612.69</v>
      </c>
    </row>
    <row r="5287" spans="2:12" ht="15">
      <c r="B5287" s="644"/>
      <c r="C5287" s="16"/>
      <c r="D5287" s="15"/>
      <c r="E5287" s="15"/>
      <c r="F5287" s="15"/>
      <c r="G5287" s="15"/>
      <c r="H5287" s="15"/>
      <c r="I5287" s="15"/>
      <c r="J5287" s="15"/>
      <c r="K5287" s="17"/>
      <c r="L5287" s="645"/>
    </row>
    <row r="5288" spans="2:12" ht="47.25">
      <c r="B5288" s="646" t="s">
        <v>402</v>
      </c>
      <c r="C5288" s="18" t="s">
        <v>403</v>
      </c>
      <c r="D5288" s="18" t="s">
        <v>404</v>
      </c>
      <c r="E5288" s="18" t="s">
        <v>405</v>
      </c>
      <c r="F5288" s="18" t="s">
        <v>406</v>
      </c>
      <c r="G5288" s="18" t="s">
        <v>407</v>
      </c>
      <c r="H5288" s="5" t="s">
        <v>408</v>
      </c>
      <c r="I5288" s="18" t="s">
        <v>409</v>
      </c>
      <c r="J5288" s="5" t="s">
        <v>410</v>
      </c>
      <c r="K5288" s="5" t="s">
        <v>411</v>
      </c>
      <c r="L5288" s="647" t="s">
        <v>412</v>
      </c>
    </row>
    <row r="5289" spans="2:12" ht="15">
      <c r="B5289" s="751" t="s">
        <v>850</v>
      </c>
      <c r="C5289" s="20"/>
      <c r="D5289" s="19"/>
      <c r="E5289" s="19"/>
      <c r="F5289" s="19">
        <v>1024.1600000000001</v>
      </c>
      <c r="G5289" s="20"/>
      <c r="H5289" s="68"/>
      <c r="I5289" s="17">
        <v>1</v>
      </c>
      <c r="J5289" s="69"/>
      <c r="K5289" s="17"/>
      <c r="L5289" s="649">
        <f t="shared" ref="L5289:L5293" si="378">PRODUCT(C5289:K5289)</f>
        <v>1024.1600000000001</v>
      </c>
    </row>
    <row r="5290" spans="2:12" ht="15">
      <c r="B5290" s="751" t="s">
        <v>438</v>
      </c>
      <c r="C5290" s="20"/>
      <c r="D5290" s="19"/>
      <c r="E5290" s="19"/>
      <c r="F5290" s="19">
        <v>215.6</v>
      </c>
      <c r="G5290" s="20"/>
      <c r="H5290" s="68"/>
      <c r="I5290" s="17">
        <v>1</v>
      </c>
      <c r="J5290" s="69"/>
      <c r="K5290" s="17"/>
      <c r="L5290" s="649">
        <f t="shared" si="378"/>
        <v>215.6</v>
      </c>
    </row>
    <row r="5291" spans="2:12" ht="15">
      <c r="B5291" s="751" t="s">
        <v>572</v>
      </c>
      <c r="C5291" s="20"/>
      <c r="D5291" s="19"/>
      <c r="E5291" s="19"/>
      <c r="F5291" s="19">
        <v>149.18100000000001</v>
      </c>
      <c r="G5291" s="20"/>
      <c r="H5291" s="68"/>
      <c r="I5291" s="17">
        <v>1</v>
      </c>
      <c r="J5291" s="69"/>
      <c r="K5291" s="17"/>
      <c r="L5291" s="649">
        <f t="shared" si="378"/>
        <v>149.18100000000001</v>
      </c>
    </row>
    <row r="5292" spans="2:12" ht="15">
      <c r="B5292" s="650" t="s">
        <v>570</v>
      </c>
      <c r="C5292" s="20"/>
      <c r="D5292" s="19"/>
      <c r="E5292" s="19"/>
      <c r="F5292" s="19">
        <v>401.149</v>
      </c>
      <c r="G5292" s="20"/>
      <c r="H5292" s="68"/>
      <c r="I5292" s="17">
        <v>1</v>
      </c>
      <c r="J5292" s="69"/>
      <c r="K5292" s="17"/>
      <c r="L5292" s="649">
        <f t="shared" si="378"/>
        <v>401.149</v>
      </c>
    </row>
    <row r="5293" spans="2:12" ht="15">
      <c r="B5293" s="650" t="s">
        <v>524</v>
      </c>
      <c r="C5293" s="20"/>
      <c r="D5293" s="19"/>
      <c r="E5293" s="19"/>
      <c r="F5293" s="19"/>
      <c r="G5293" s="20"/>
      <c r="H5293" s="68"/>
      <c r="I5293" s="17"/>
      <c r="J5293" s="69"/>
      <c r="K5293" s="17"/>
      <c r="L5293" s="649">
        <f t="shared" si="378"/>
        <v>0</v>
      </c>
    </row>
    <row r="5294" spans="2:12" ht="15">
      <c r="B5294" s="650"/>
      <c r="C5294" s="20"/>
      <c r="D5294" s="19"/>
      <c r="E5294" s="19"/>
      <c r="F5294" s="19"/>
      <c r="G5294" s="20"/>
      <c r="H5294" s="68"/>
      <c r="I5294" s="17"/>
      <c r="J5294" s="69"/>
      <c r="K5294" s="17"/>
      <c r="L5294" s="649"/>
    </row>
    <row r="5295" spans="2:12" ht="15">
      <c r="B5295" s="648" t="s">
        <v>538</v>
      </c>
      <c r="D5295" s="19"/>
      <c r="E5295" s="20"/>
      <c r="F5295" s="19">
        <v>68</v>
      </c>
      <c r="G5295" s="20"/>
      <c r="H5295" s="68"/>
      <c r="I5295" s="17"/>
      <c r="J5295" s="28"/>
      <c r="K5295" s="17"/>
      <c r="L5295" s="649">
        <f>PRODUCT(D5295:K5295)</f>
        <v>68</v>
      </c>
    </row>
    <row r="5296" spans="2:12" ht="15">
      <c r="B5296" s="648" t="s">
        <v>539</v>
      </c>
      <c r="C5296" s="19"/>
      <c r="D5296" s="19"/>
      <c r="E5296" s="20"/>
      <c r="F5296" s="19">
        <v>100</v>
      </c>
      <c r="G5296" s="20"/>
      <c r="H5296" s="68"/>
      <c r="I5296" s="17"/>
      <c r="J5296" s="28"/>
      <c r="K5296" s="17"/>
      <c r="L5296" s="649">
        <f t="shared" ref="L5296:L5309" si="379">PRODUCT(C5296:K5296)</f>
        <v>100</v>
      </c>
    </row>
    <row r="5297" spans="2:12" ht="15">
      <c r="B5297" s="648" t="s">
        <v>560</v>
      </c>
      <c r="C5297" s="19"/>
      <c r="D5297" s="19"/>
      <c r="E5297" s="20"/>
      <c r="F5297" s="19">
        <v>72</v>
      </c>
      <c r="G5297" s="20"/>
      <c r="H5297" s="68"/>
      <c r="I5297" s="17"/>
      <c r="J5297" s="28"/>
      <c r="K5297" s="17"/>
      <c r="L5297" s="649">
        <f t="shared" si="379"/>
        <v>72</v>
      </c>
    </row>
    <row r="5298" spans="2:12" ht="15">
      <c r="B5298" s="648" t="s">
        <v>561</v>
      </c>
      <c r="C5298" s="19"/>
      <c r="D5298" s="19"/>
      <c r="E5298" s="20"/>
      <c r="F5298" s="19">
        <v>87</v>
      </c>
      <c r="G5298" s="20"/>
      <c r="H5298" s="68"/>
      <c r="I5298" s="17"/>
      <c r="J5298" s="28"/>
      <c r="K5298" s="17"/>
      <c r="L5298" s="649">
        <f t="shared" si="379"/>
        <v>87</v>
      </c>
    </row>
    <row r="5299" spans="2:12" ht="15">
      <c r="B5299" s="648" t="s">
        <v>562</v>
      </c>
      <c r="C5299" s="19"/>
      <c r="D5299" s="19"/>
      <c r="E5299" s="20"/>
      <c r="F5299" s="19">
        <v>53</v>
      </c>
      <c r="G5299" s="20"/>
      <c r="H5299" s="68"/>
      <c r="I5299" s="17"/>
      <c r="J5299" s="28"/>
      <c r="K5299" s="17"/>
      <c r="L5299" s="649">
        <f t="shared" si="379"/>
        <v>53</v>
      </c>
    </row>
    <row r="5300" spans="2:12" ht="15">
      <c r="B5300" s="648" t="s">
        <v>563</v>
      </c>
      <c r="C5300" s="19"/>
      <c r="D5300" s="19"/>
      <c r="E5300" s="20"/>
      <c r="F5300" s="19">
        <v>57</v>
      </c>
      <c r="G5300" s="20"/>
      <c r="H5300" s="68"/>
      <c r="I5300" s="17"/>
      <c r="J5300" s="28"/>
      <c r="K5300" s="17"/>
      <c r="L5300" s="649">
        <f t="shared" si="379"/>
        <v>57</v>
      </c>
    </row>
    <row r="5301" spans="2:12" ht="15">
      <c r="B5301" s="648" t="s">
        <v>564</v>
      </c>
      <c r="C5301" s="19"/>
      <c r="D5301" s="19"/>
      <c r="E5301" s="20"/>
      <c r="F5301" s="19">
        <v>50</v>
      </c>
      <c r="G5301" s="20"/>
      <c r="H5301" s="68"/>
      <c r="I5301" s="17"/>
      <c r="J5301" s="28"/>
      <c r="K5301" s="17"/>
      <c r="L5301" s="649">
        <f t="shared" si="379"/>
        <v>50</v>
      </c>
    </row>
    <row r="5302" spans="2:12" ht="15">
      <c r="B5302" s="648"/>
      <c r="C5302" s="19"/>
      <c r="D5302" s="19"/>
      <c r="E5302" s="20"/>
      <c r="F5302" s="19">
        <v>22</v>
      </c>
      <c r="G5302" s="20"/>
      <c r="H5302" s="68"/>
      <c r="I5302" s="17"/>
      <c r="J5302" s="28"/>
      <c r="K5302" s="17"/>
      <c r="L5302" s="649">
        <f t="shared" si="379"/>
        <v>22</v>
      </c>
    </row>
    <row r="5303" spans="2:12" ht="15">
      <c r="B5303" s="648"/>
      <c r="C5303" s="19"/>
      <c r="D5303" s="19"/>
      <c r="E5303" s="20"/>
      <c r="F5303" s="19">
        <v>33</v>
      </c>
      <c r="G5303" s="20"/>
      <c r="H5303" s="68"/>
      <c r="I5303" s="17"/>
      <c r="J5303" s="28"/>
      <c r="K5303" s="17"/>
      <c r="L5303" s="649">
        <f t="shared" si="379"/>
        <v>33</v>
      </c>
    </row>
    <row r="5304" spans="2:12" ht="15">
      <c r="B5304" s="648"/>
      <c r="C5304" s="19"/>
      <c r="D5304" s="19"/>
      <c r="E5304" s="20"/>
      <c r="F5304" s="19">
        <f>6*2</f>
        <v>12</v>
      </c>
      <c r="G5304" s="20"/>
      <c r="H5304" s="68"/>
      <c r="I5304" s="17"/>
      <c r="J5304" s="28"/>
      <c r="K5304" s="17"/>
      <c r="L5304" s="649">
        <f>PRODUCT(D5304:K5304)</f>
        <v>12</v>
      </c>
    </row>
    <row r="5305" spans="2:12" ht="15">
      <c r="B5305" s="648"/>
      <c r="C5305" s="19"/>
      <c r="D5305" s="19"/>
      <c r="E5305" s="20"/>
      <c r="F5305" s="19">
        <v>54</v>
      </c>
      <c r="G5305" s="20"/>
      <c r="H5305" s="68"/>
      <c r="I5305" s="17"/>
      <c r="J5305" s="28"/>
      <c r="K5305" s="17"/>
      <c r="L5305" s="649">
        <f t="shared" si="379"/>
        <v>54</v>
      </c>
    </row>
    <row r="5306" spans="2:12" ht="15">
      <c r="B5306" s="648"/>
      <c r="C5306" s="19"/>
      <c r="D5306" s="19"/>
      <c r="E5306" s="20"/>
      <c r="F5306" s="19">
        <f>6*20</f>
        <v>120</v>
      </c>
      <c r="G5306" s="20"/>
      <c r="H5306" s="68"/>
      <c r="I5306" s="17"/>
      <c r="J5306" s="28"/>
      <c r="K5306" s="17"/>
      <c r="L5306" s="649">
        <f t="shared" si="379"/>
        <v>120</v>
      </c>
    </row>
    <row r="5307" spans="2:12" ht="15">
      <c r="B5307" s="650"/>
      <c r="C5307" s="20"/>
      <c r="D5307" s="19"/>
      <c r="E5307" s="19"/>
      <c r="F5307" s="19">
        <v>32</v>
      </c>
      <c r="G5307" s="20"/>
      <c r="H5307" s="68"/>
      <c r="I5307" s="17"/>
      <c r="J5307" s="69"/>
      <c r="K5307" s="17"/>
      <c r="L5307" s="649">
        <f t="shared" si="379"/>
        <v>32</v>
      </c>
    </row>
    <row r="5308" spans="2:12" ht="15">
      <c r="B5308" s="650"/>
      <c r="C5308" s="20"/>
      <c r="D5308" s="19"/>
      <c r="E5308" s="19"/>
      <c r="F5308" s="19">
        <v>28.6</v>
      </c>
      <c r="G5308" s="20"/>
      <c r="H5308" s="68"/>
      <c r="I5308" s="17"/>
      <c r="J5308" s="69"/>
      <c r="K5308" s="17"/>
      <c r="L5308" s="649">
        <f t="shared" si="379"/>
        <v>28.6</v>
      </c>
    </row>
    <row r="5309" spans="2:12" ht="15">
      <c r="B5309" s="650"/>
      <c r="C5309" s="20"/>
      <c r="D5309" s="19"/>
      <c r="E5309" s="19"/>
      <c r="F5309" s="19">
        <v>34</v>
      </c>
      <c r="G5309" s="20"/>
      <c r="H5309" s="68"/>
      <c r="I5309" s="17"/>
      <c r="J5309" s="69"/>
      <c r="K5309" s="17"/>
      <c r="L5309" s="649">
        <f t="shared" si="379"/>
        <v>34</v>
      </c>
    </row>
    <row r="5310" spans="2:12" ht="15">
      <c r="B5310" s="650"/>
      <c r="C5310" s="20"/>
      <c r="D5310" s="19"/>
      <c r="E5310" s="19"/>
      <c r="F5310" s="19"/>
      <c r="G5310" s="20"/>
      <c r="H5310" s="68"/>
      <c r="I5310" s="17"/>
      <c r="J5310" s="69"/>
      <c r="K5310" s="17"/>
      <c r="L5310" s="649"/>
    </row>
    <row r="5311" spans="2:12" ht="15.75">
      <c r="B5311" s="981"/>
      <c r="C5311" s="982"/>
      <c r="D5311" s="982"/>
      <c r="E5311" s="982"/>
      <c r="F5311" s="982"/>
      <c r="G5311" s="982"/>
      <c r="H5311" s="982"/>
      <c r="I5311" s="982"/>
      <c r="J5311" s="982"/>
      <c r="K5311" s="982"/>
      <c r="L5311" s="983"/>
    </row>
    <row r="5312" spans="2:12">
      <c r="B5312" s="651"/>
      <c r="L5312" s="652"/>
    </row>
    <row r="5313" spans="2:12" ht="47.25">
      <c r="B5313" s="642" t="s">
        <v>399</v>
      </c>
      <c r="C5313" s="25">
        <f>+'PROPUESTA ECONOMICA(Proponente)'!C879</f>
        <v>0</v>
      </c>
      <c r="D5313" s="12" t="str">
        <f>+'PROPUESTA ECONOMICA(Proponente)'!G706</f>
        <v>losa en concreto  e=0.12 m 3000 psi para parque de niños (Incluye  mezcla, formaleta, fundida y curado)</v>
      </c>
      <c r="E5313" s="13"/>
      <c r="F5313" s="12"/>
      <c r="G5313" s="12"/>
      <c r="H5313" s="12"/>
      <c r="I5313" s="11" t="s">
        <v>400</v>
      </c>
      <c r="J5313" s="12" t="str">
        <f>+'PROPUESTA ECONOMICA(Proponente)'!H706</f>
        <v>m2</v>
      </c>
      <c r="K5313" s="11" t="s">
        <v>401</v>
      </c>
      <c r="L5313" s="643">
        <f>SUM(L5314:L5327)</f>
        <v>1946</v>
      </c>
    </row>
    <row r="5314" spans="2:12" ht="15">
      <c r="B5314" s="644"/>
      <c r="C5314" s="16"/>
      <c r="D5314" s="15"/>
      <c r="E5314" s="15"/>
      <c r="F5314" s="15"/>
      <c r="G5314" s="15"/>
      <c r="H5314" s="15"/>
      <c r="I5314" s="15"/>
      <c r="J5314" s="15"/>
      <c r="K5314" s="17"/>
      <c r="L5314" s="645"/>
    </row>
    <row r="5315" spans="2:12" ht="47.25">
      <c r="B5315" s="646" t="s">
        <v>402</v>
      </c>
      <c r="C5315" s="18" t="s">
        <v>403</v>
      </c>
      <c r="D5315" s="18" t="s">
        <v>404</v>
      </c>
      <c r="E5315" s="18" t="s">
        <v>405</v>
      </c>
      <c r="F5315" s="18" t="s">
        <v>406</v>
      </c>
      <c r="G5315" s="18" t="s">
        <v>407</v>
      </c>
      <c r="H5315" s="5" t="s">
        <v>408</v>
      </c>
      <c r="I5315" s="18" t="s">
        <v>409</v>
      </c>
      <c r="J5315" s="5" t="s">
        <v>410</v>
      </c>
      <c r="K5315" s="5" t="s">
        <v>411</v>
      </c>
      <c r="L5315" s="647" t="s">
        <v>412</v>
      </c>
    </row>
    <row r="5316" spans="2:12" ht="15.75">
      <c r="B5316" s="759" t="s">
        <v>573</v>
      </c>
      <c r="C5316" s="19"/>
      <c r="D5316" s="19"/>
      <c r="E5316" s="19"/>
      <c r="F5316" s="19"/>
      <c r="G5316" s="20"/>
      <c r="H5316" s="68"/>
      <c r="I5316" s="17"/>
      <c r="J5316" s="28"/>
      <c r="K5316" s="17"/>
      <c r="L5316" s="649"/>
    </row>
    <row r="5317" spans="2:12" ht="15.75">
      <c r="B5317" s="759"/>
      <c r="C5317" s="19"/>
      <c r="D5317" s="19"/>
      <c r="E5317" s="19"/>
      <c r="F5317" s="19"/>
      <c r="G5317" s="20"/>
      <c r="H5317" s="68"/>
      <c r="I5317" s="17"/>
      <c r="J5317" s="28"/>
      <c r="K5317" s="17"/>
      <c r="L5317" s="649"/>
    </row>
    <row r="5318" spans="2:12" ht="15.75">
      <c r="B5318" s="759" t="s">
        <v>559</v>
      </c>
      <c r="C5318" s="20"/>
      <c r="D5318" s="19"/>
      <c r="E5318" s="19"/>
      <c r="F5318" s="19"/>
      <c r="G5318" s="20"/>
      <c r="H5318" s="68"/>
      <c r="I5318" s="17"/>
      <c r="J5318" s="69"/>
      <c r="K5318" s="17"/>
      <c r="L5318" s="649"/>
    </row>
    <row r="5319" spans="2:12" ht="15">
      <c r="B5319" s="648" t="s">
        <v>538</v>
      </c>
      <c r="C5319" s="19">
        <v>187</v>
      </c>
      <c r="D5319" s="19"/>
      <c r="E5319" s="20"/>
      <c r="F5319" s="19"/>
      <c r="G5319" s="20"/>
      <c r="H5319" s="68"/>
      <c r="I5319" s="17"/>
      <c r="J5319" s="28"/>
      <c r="K5319" s="17"/>
      <c r="L5319" s="649">
        <f t="shared" ref="L5319:L5325" si="380">PRODUCT(C5319:K5319)</f>
        <v>187</v>
      </c>
    </row>
    <row r="5320" spans="2:12" ht="15">
      <c r="B5320" s="648" t="s">
        <v>539</v>
      </c>
      <c r="C5320" s="19">
        <v>488</v>
      </c>
      <c r="D5320" s="19"/>
      <c r="E5320" s="20"/>
      <c r="F5320" s="19"/>
      <c r="G5320" s="20"/>
      <c r="H5320" s="68"/>
      <c r="I5320" s="17"/>
      <c r="J5320" s="28"/>
      <c r="K5320" s="17"/>
      <c r="L5320" s="649">
        <f t="shared" si="380"/>
        <v>488</v>
      </c>
    </row>
    <row r="5321" spans="2:12" ht="15">
      <c r="B5321" s="648" t="s">
        <v>560</v>
      </c>
      <c r="C5321" s="19">
        <v>354</v>
      </c>
      <c r="D5321" s="19"/>
      <c r="E5321" s="20"/>
      <c r="F5321" s="19"/>
      <c r="G5321" s="20"/>
      <c r="H5321" s="68"/>
      <c r="I5321" s="17"/>
      <c r="J5321" s="28"/>
      <c r="K5321" s="17"/>
      <c r="L5321" s="649">
        <f t="shared" si="380"/>
        <v>354</v>
      </c>
    </row>
    <row r="5322" spans="2:12" ht="15">
      <c r="B5322" s="648" t="s">
        <v>561</v>
      </c>
      <c r="C5322" s="19">
        <v>313</v>
      </c>
      <c r="D5322" s="19"/>
      <c r="E5322" s="20"/>
      <c r="F5322" s="19"/>
      <c r="G5322" s="20"/>
      <c r="H5322" s="68"/>
      <c r="I5322" s="17"/>
      <c r="J5322" s="28"/>
      <c r="K5322" s="17"/>
      <c r="L5322" s="649">
        <f t="shared" si="380"/>
        <v>313</v>
      </c>
    </row>
    <row r="5323" spans="2:12" ht="15">
      <c r="B5323" s="648" t="s">
        <v>562</v>
      </c>
      <c r="C5323" s="19">
        <v>171</v>
      </c>
      <c r="D5323" s="19"/>
      <c r="E5323" s="20"/>
      <c r="F5323" s="19"/>
      <c r="G5323" s="20"/>
      <c r="H5323" s="68"/>
      <c r="I5323" s="17"/>
      <c r="J5323" s="28"/>
      <c r="K5323" s="17"/>
      <c r="L5323" s="649">
        <f t="shared" si="380"/>
        <v>171</v>
      </c>
    </row>
    <row r="5324" spans="2:12" ht="15">
      <c r="B5324" s="648" t="s">
        <v>563</v>
      </c>
      <c r="C5324" s="19">
        <v>210</v>
      </c>
      <c r="D5324" s="19"/>
      <c r="E5324" s="20"/>
      <c r="F5324" s="19"/>
      <c r="G5324" s="20"/>
      <c r="H5324" s="68"/>
      <c r="I5324" s="17"/>
      <c r="J5324" s="28"/>
      <c r="K5324" s="17"/>
      <c r="L5324" s="649">
        <f t="shared" si="380"/>
        <v>210</v>
      </c>
    </row>
    <row r="5325" spans="2:12" ht="15">
      <c r="B5325" s="648" t="s">
        <v>564</v>
      </c>
      <c r="C5325" s="19">
        <v>223</v>
      </c>
      <c r="D5325" s="19"/>
      <c r="E5325" s="20"/>
      <c r="F5325" s="19"/>
      <c r="G5325" s="20"/>
      <c r="H5325" s="68"/>
      <c r="I5325" s="17"/>
      <c r="J5325" s="28"/>
      <c r="K5325" s="17"/>
      <c r="L5325" s="649">
        <f t="shared" si="380"/>
        <v>223</v>
      </c>
    </row>
    <row r="5326" spans="2:12" ht="15">
      <c r="B5326" s="648"/>
      <c r="C5326" s="19"/>
      <c r="D5326" s="19"/>
      <c r="E5326" s="20"/>
      <c r="F5326" s="19"/>
      <c r="G5326" s="20"/>
      <c r="H5326" s="68"/>
      <c r="I5326" s="17"/>
      <c r="J5326" s="28"/>
      <c r="K5326" s="17"/>
      <c r="L5326" s="649"/>
    </row>
    <row r="5327" spans="2:12" ht="15">
      <c r="B5327" s="648"/>
      <c r="C5327" s="19"/>
      <c r="D5327" s="19"/>
      <c r="E5327" s="20"/>
      <c r="F5327" s="19"/>
      <c r="G5327" s="20"/>
      <c r="H5327" s="68"/>
      <c r="I5327" s="17"/>
      <c r="J5327" s="28"/>
      <c r="K5327" s="17"/>
      <c r="L5327" s="649"/>
    </row>
    <row r="5328" spans="2:12">
      <c r="B5328" s="651"/>
      <c r="L5328" s="652"/>
    </row>
    <row r="5329" spans="2:12">
      <c r="B5329" s="651"/>
      <c r="L5329" s="652"/>
    </row>
    <row r="5330" spans="2:12">
      <c r="B5330" s="651"/>
      <c r="L5330" s="652"/>
    </row>
    <row r="5331" spans="2:12">
      <c r="B5331" s="651"/>
      <c r="L5331" s="652"/>
    </row>
    <row r="5332" spans="2:12">
      <c r="B5332" s="651"/>
      <c r="L5332" s="652"/>
    </row>
    <row r="5333" spans="2:12">
      <c r="B5333" s="651"/>
      <c r="L5333" s="652"/>
    </row>
    <row r="5334" spans="2:12" ht="31.15" customHeight="1">
      <c r="B5334" s="857" t="s">
        <v>1179</v>
      </c>
      <c r="C5334" s="622"/>
      <c r="D5334" s="1058" t="s">
        <v>1180</v>
      </c>
      <c r="E5334" s="1058"/>
      <c r="F5334" s="1058"/>
      <c r="G5334" s="1058"/>
      <c r="H5334" s="621"/>
      <c r="I5334" s="623"/>
      <c r="J5334" s="1059" t="s">
        <v>1181</v>
      </c>
      <c r="K5334" s="1059"/>
      <c r="L5334" s="1060"/>
    </row>
    <row r="5335" spans="2:12">
      <c r="B5335" s="858" t="s">
        <v>1182</v>
      </c>
      <c r="C5335" s="625"/>
      <c r="D5335" s="621"/>
      <c r="E5335" s="1061" t="s">
        <v>1183</v>
      </c>
      <c r="F5335" s="1061"/>
      <c r="G5335" s="624"/>
      <c r="H5335" s="624"/>
      <c r="I5335" s="623"/>
      <c r="J5335" s="1061" t="s">
        <v>1184</v>
      </c>
      <c r="K5335" s="1061"/>
      <c r="L5335" s="1062"/>
    </row>
    <row r="5336" spans="2:12">
      <c r="B5336" s="858" t="s">
        <v>1185</v>
      </c>
      <c r="C5336" s="625"/>
      <c r="D5336" s="621"/>
      <c r="E5336" s="1061" t="s">
        <v>1185</v>
      </c>
      <c r="F5336" s="1061"/>
      <c r="G5336" s="624"/>
      <c r="H5336" s="624"/>
      <c r="I5336" s="623"/>
      <c r="J5336" s="1061" t="s">
        <v>1186</v>
      </c>
      <c r="K5336" s="1061"/>
      <c r="L5336" s="1062"/>
    </row>
    <row r="5337" spans="2:12">
      <c r="B5337" s="858" t="s">
        <v>1171</v>
      </c>
      <c r="C5337" s="625"/>
      <c r="D5337" s="621"/>
      <c r="E5337" s="1061" t="s">
        <v>1187</v>
      </c>
      <c r="F5337" s="1061"/>
      <c r="G5337" s="624"/>
      <c r="H5337" s="624"/>
      <c r="I5337" s="621"/>
      <c r="J5337" s="1061" t="s">
        <v>1188</v>
      </c>
      <c r="K5337" s="1061"/>
      <c r="L5337" s="1062"/>
    </row>
    <row r="5338" spans="2:12" ht="13.5" thickBot="1">
      <c r="B5338" s="859" t="s">
        <v>1170</v>
      </c>
      <c r="C5338" s="627"/>
      <c r="D5338" s="628"/>
      <c r="E5338" s="1063" t="s">
        <v>1172</v>
      </c>
      <c r="F5338" s="1063"/>
      <c r="G5338" s="626"/>
      <c r="H5338" s="626"/>
      <c r="I5338" s="629"/>
      <c r="J5338" s="1063"/>
      <c r="K5338" s="1063"/>
      <c r="L5338" s="1064"/>
    </row>
    <row r="5339" spans="2:12" ht="13.5" thickTop="1"/>
  </sheetData>
  <mergeCells count="647">
    <mergeCell ref="D5334:G5334"/>
    <mergeCell ref="J5334:L5334"/>
    <mergeCell ref="E5335:F5335"/>
    <mergeCell ref="J5335:L5335"/>
    <mergeCell ref="E5336:F5336"/>
    <mergeCell ref="J5336:L5336"/>
    <mergeCell ref="E5337:F5337"/>
    <mergeCell ref="J5337:L5337"/>
    <mergeCell ref="E5338:F5338"/>
    <mergeCell ref="J5338:L5338"/>
    <mergeCell ref="F517:F519"/>
    <mergeCell ref="I517:I519"/>
    <mergeCell ref="L517:L519"/>
    <mergeCell ref="D535:D540"/>
    <mergeCell ref="E535:E540"/>
    <mergeCell ref="F535:F540"/>
    <mergeCell ref="I535:I540"/>
    <mergeCell ref="L535:L540"/>
    <mergeCell ref="B1627:L1627"/>
    <mergeCell ref="D930:L930"/>
    <mergeCell ref="B944:L944"/>
    <mergeCell ref="D946:L946"/>
    <mergeCell ref="B947:L947"/>
    <mergeCell ref="B957:L957"/>
    <mergeCell ref="D959:L959"/>
    <mergeCell ref="B960:L960"/>
    <mergeCell ref="B975:L975"/>
    <mergeCell ref="B931:L931"/>
    <mergeCell ref="D585:L585"/>
    <mergeCell ref="B586:L586"/>
    <mergeCell ref="B621:L621"/>
    <mergeCell ref="D623:L623"/>
    <mergeCell ref="B624:L624"/>
    <mergeCell ref="E517:E519"/>
    <mergeCell ref="B2657:L2657"/>
    <mergeCell ref="B2660:L2660"/>
    <mergeCell ref="B3093:L3093"/>
    <mergeCell ref="B2770:L2770"/>
    <mergeCell ref="B3090:L3090"/>
    <mergeCell ref="D3092:L3092"/>
    <mergeCell ref="D2821:L2821"/>
    <mergeCell ref="B2822:L2822"/>
    <mergeCell ref="D3068:L3068"/>
    <mergeCell ref="B3069:L3069"/>
    <mergeCell ref="D3079:L3079"/>
    <mergeCell ref="B3080:L3080"/>
    <mergeCell ref="D2785:L2785"/>
    <mergeCell ref="D2797:L2797"/>
    <mergeCell ref="D2810:L2810"/>
    <mergeCell ref="D3081:H3081"/>
    <mergeCell ref="B2704:L2704"/>
    <mergeCell ref="B2714:L2714"/>
    <mergeCell ref="B2752:L2752"/>
    <mergeCell ref="B2741:L2741"/>
    <mergeCell ref="D5206:L5206"/>
    <mergeCell ref="D5216:L5216"/>
    <mergeCell ref="D5226:L5226"/>
    <mergeCell ref="D5237:L5237"/>
    <mergeCell ref="D5257:L5257"/>
    <mergeCell ref="D4869:L4869"/>
    <mergeCell ref="D4883:L4883"/>
    <mergeCell ref="D4895:L4895"/>
    <mergeCell ref="D4907:L4907"/>
    <mergeCell ref="D4921:L4921"/>
    <mergeCell ref="D4933:L4933"/>
    <mergeCell ref="D4945:L4945"/>
    <mergeCell ref="D4980:L4980"/>
    <mergeCell ref="D4993:L4993"/>
    <mergeCell ref="B4908:L4908"/>
    <mergeCell ref="B4919:L4919"/>
    <mergeCell ref="B4922:L4922"/>
    <mergeCell ref="B4931:L4931"/>
    <mergeCell ref="B4934:L4934"/>
    <mergeCell ref="B4943:L4943"/>
    <mergeCell ref="D5071:L5071"/>
    <mergeCell ref="D5095:L5095"/>
    <mergeCell ref="D5106:L5106"/>
    <mergeCell ref="D5120:L5120"/>
    <mergeCell ref="D5131:L5131"/>
    <mergeCell ref="D5142:L5142"/>
    <mergeCell ref="D5153:L5153"/>
    <mergeCell ref="D5164:L5164"/>
    <mergeCell ref="B5107:L5107"/>
    <mergeCell ref="B5118:L5118"/>
    <mergeCell ref="B5121:L5121"/>
    <mergeCell ref="B5129:L5129"/>
    <mergeCell ref="B5132:L5132"/>
    <mergeCell ref="B5140:L5140"/>
    <mergeCell ref="B5054:L5054"/>
    <mergeCell ref="B5057:L5057"/>
    <mergeCell ref="B5069:L5069"/>
    <mergeCell ref="B4946:L4946"/>
    <mergeCell ref="B4978:L4978"/>
    <mergeCell ref="B4981:L4981"/>
    <mergeCell ref="B4991:L4991"/>
    <mergeCell ref="B4994:L4994"/>
    <mergeCell ref="B5007:L5007"/>
    <mergeCell ref="D5056:L5056"/>
    <mergeCell ref="B4870:L4870"/>
    <mergeCell ref="B4881:L4881"/>
    <mergeCell ref="B4884:L4884"/>
    <mergeCell ref="B4893:L4893"/>
    <mergeCell ref="B4896:L4896"/>
    <mergeCell ref="B4905:L4905"/>
    <mergeCell ref="B5010:L5010"/>
    <mergeCell ref="B5042:L5042"/>
    <mergeCell ref="B5045:L5045"/>
    <mergeCell ref="D5009:L5009"/>
    <mergeCell ref="D5044:L5044"/>
    <mergeCell ref="D4718:J4718"/>
    <mergeCell ref="D4730:J4730"/>
    <mergeCell ref="D4742:J4742"/>
    <mergeCell ref="D4754:J4754"/>
    <mergeCell ref="D4768:J4768"/>
    <mergeCell ref="D4782:J4782"/>
    <mergeCell ref="D4796:L4796"/>
    <mergeCell ref="D4808:L4808"/>
    <mergeCell ref="D4820:L4820"/>
    <mergeCell ref="B4755:L4755"/>
    <mergeCell ref="B4766:L4766"/>
    <mergeCell ref="B4769:L4769"/>
    <mergeCell ref="B4780:L4780"/>
    <mergeCell ref="B4783:L4783"/>
    <mergeCell ref="B4794:L4794"/>
    <mergeCell ref="B4719:L4719"/>
    <mergeCell ref="B4728:L4728"/>
    <mergeCell ref="B4731:L4731"/>
    <mergeCell ref="B4740:L4740"/>
    <mergeCell ref="B4743:L4743"/>
    <mergeCell ref="B4752:L4752"/>
    <mergeCell ref="B4407:L4407"/>
    <mergeCell ref="B4452:L4452"/>
    <mergeCell ref="B4488:L4488"/>
    <mergeCell ref="B4307:L4307"/>
    <mergeCell ref="B4323:L4323"/>
    <mergeCell ref="B4343:L4343"/>
    <mergeCell ref="B4364:L4364"/>
    <mergeCell ref="B4367:L4367"/>
    <mergeCell ref="B4394:L4394"/>
    <mergeCell ref="D4366:K4366"/>
    <mergeCell ref="D4190:L4190"/>
    <mergeCell ref="B4191:L4191"/>
    <mergeCell ref="B4205:L4205"/>
    <mergeCell ref="D4306:L4306"/>
    <mergeCell ref="D4325:L4325"/>
    <mergeCell ref="D4345:L4345"/>
    <mergeCell ref="D4397:L4397"/>
    <mergeCell ref="D4409:L4409"/>
    <mergeCell ref="D4430:L4430"/>
    <mergeCell ref="D4207:L4207"/>
    <mergeCell ref="B4208:L4208"/>
    <mergeCell ref="B4222:L4222"/>
    <mergeCell ref="B4279:L4279"/>
    <mergeCell ref="B4282:L4282"/>
    <mergeCell ref="B4291:L4291"/>
    <mergeCell ref="B4295:L4295"/>
    <mergeCell ref="B4304:L4304"/>
    <mergeCell ref="B4248:L4248"/>
    <mergeCell ref="D4250:L4250"/>
    <mergeCell ref="B4251:L4251"/>
    <mergeCell ref="D4264:L4264"/>
    <mergeCell ref="B4265:L4265"/>
    <mergeCell ref="D4294:L4294"/>
    <mergeCell ref="D4281:L4281"/>
    <mergeCell ref="B4107:L4107"/>
    <mergeCell ref="D4109:L4109"/>
    <mergeCell ref="B3961:L3961"/>
    <mergeCell ref="D4162:L4162"/>
    <mergeCell ref="B4163:L4163"/>
    <mergeCell ref="B4175:L4175"/>
    <mergeCell ref="D4177:L4177"/>
    <mergeCell ref="B4178:L4178"/>
    <mergeCell ref="B4188:L4188"/>
    <mergeCell ref="D4125:L4125"/>
    <mergeCell ref="B4126:L4126"/>
    <mergeCell ref="B4140:L4140"/>
    <mergeCell ref="D4142:L4142"/>
    <mergeCell ref="B4143:L4143"/>
    <mergeCell ref="B4160:L4160"/>
    <mergeCell ref="D4000:L4000"/>
    <mergeCell ref="B3998:L3998"/>
    <mergeCell ref="B3880:L3880"/>
    <mergeCell ref="B3889:L3889"/>
    <mergeCell ref="D3819:G3819"/>
    <mergeCell ref="D3497:L3497"/>
    <mergeCell ref="B3498:L3498"/>
    <mergeCell ref="B3567:L3567"/>
    <mergeCell ref="D3569:L3569"/>
    <mergeCell ref="B3570:L3570"/>
    <mergeCell ref="D3595:L3595"/>
    <mergeCell ref="B3596:L3596"/>
    <mergeCell ref="B3662:L3662"/>
    <mergeCell ref="D3499:H3499"/>
    <mergeCell ref="B3715:L3715"/>
    <mergeCell ref="B3787:L3787"/>
    <mergeCell ref="B3796:L3796"/>
    <mergeCell ref="D3788:G3788"/>
    <mergeCell ref="D3731:L3731"/>
    <mergeCell ref="D3774:L3774"/>
    <mergeCell ref="D3237:L3237"/>
    <mergeCell ref="B3238:L3238"/>
    <mergeCell ref="D3307:L3307"/>
    <mergeCell ref="B3308:L3308"/>
    <mergeCell ref="D3394:L3394"/>
    <mergeCell ref="B3395:L3395"/>
    <mergeCell ref="D3929:L3929"/>
    <mergeCell ref="D3960:L3960"/>
    <mergeCell ref="D3126:H3126"/>
    <mergeCell ref="D3309:H3309"/>
    <mergeCell ref="B3665:L3665"/>
    <mergeCell ref="B3677:L3677"/>
    <mergeCell ref="D3679:L3679"/>
    <mergeCell ref="B3680:L3680"/>
    <mergeCell ref="B3692:L3692"/>
    <mergeCell ref="D3717:L3717"/>
    <mergeCell ref="B3718:L3718"/>
    <mergeCell ref="B3729:L3729"/>
    <mergeCell ref="B3732:L3732"/>
    <mergeCell ref="D3742:J3742"/>
    <mergeCell ref="B3775:L3775"/>
    <mergeCell ref="B3784:L3784"/>
    <mergeCell ref="D3694:L3694"/>
    <mergeCell ref="B3695:L3695"/>
    <mergeCell ref="D3094:H3094"/>
    <mergeCell ref="B2355:L2355"/>
    <mergeCell ref="B3122:L3122"/>
    <mergeCell ref="D3124:L3124"/>
    <mergeCell ref="B2691:L2691"/>
    <mergeCell ref="B2694:L2694"/>
    <mergeCell ref="B2720:L2720"/>
    <mergeCell ref="B2670:L2670"/>
    <mergeCell ref="B2677:L2677"/>
    <mergeCell ref="B2786:L2786"/>
    <mergeCell ref="B2795:L2795"/>
    <mergeCell ref="B2798:L2798"/>
    <mergeCell ref="B2773:L2773"/>
    <mergeCell ref="B2782:L2782"/>
    <mergeCell ref="B2723:J2725"/>
    <mergeCell ref="B2728:L2728"/>
    <mergeCell ref="B2730:L2730"/>
    <mergeCell ref="B2727:L2727"/>
    <mergeCell ref="D2729:L2729"/>
    <mergeCell ref="D2740:L2740"/>
    <mergeCell ref="D2751:L2751"/>
    <mergeCell ref="D2772:L2772"/>
    <mergeCell ref="D3070:H3070"/>
    <mergeCell ref="B2811:L2811"/>
    <mergeCell ref="B3125:L3125"/>
    <mergeCell ref="D3786:L3786"/>
    <mergeCell ref="D3799:L3799"/>
    <mergeCell ref="B2667:L2667"/>
    <mergeCell ref="B2324:L2324"/>
    <mergeCell ref="B2333:L2333"/>
    <mergeCell ref="B2336:L2336"/>
    <mergeCell ref="B2347:L2347"/>
    <mergeCell ref="B2358:L2358"/>
    <mergeCell ref="B2367:L2367"/>
    <mergeCell ref="B2371:L2371"/>
    <mergeCell ref="B2382:L2382"/>
    <mergeCell ref="B2395:L2395"/>
    <mergeCell ref="B2475:L2475"/>
    <mergeCell ref="B2478:L2478"/>
    <mergeCell ref="B2438:L2438"/>
    <mergeCell ref="B2449:L2449"/>
    <mergeCell ref="B2452:L2452"/>
    <mergeCell ref="B2462:L2462"/>
    <mergeCell ref="B2465:L2465"/>
    <mergeCell ref="B2681:L2681"/>
    <mergeCell ref="B2530:L2530"/>
    <mergeCell ref="B2344:L2344"/>
    <mergeCell ref="D3664:L3664"/>
    <mergeCell ref="B2311:L2311"/>
    <mergeCell ref="B83:L83"/>
    <mergeCell ref="B96:L96"/>
    <mergeCell ref="D977:L977"/>
    <mergeCell ref="B978:L978"/>
    <mergeCell ref="B987:L987"/>
    <mergeCell ref="D990:J990"/>
    <mergeCell ref="B991:L991"/>
    <mergeCell ref="D1001:J1001"/>
    <mergeCell ref="B1002:L1002"/>
    <mergeCell ref="D762:L762"/>
    <mergeCell ref="B763:L763"/>
    <mergeCell ref="B838:L838"/>
    <mergeCell ref="D840:L840"/>
    <mergeCell ref="B841:L841"/>
    <mergeCell ref="B869:L869"/>
    <mergeCell ref="D872:L872"/>
    <mergeCell ref="B873:L873"/>
    <mergeCell ref="B499:L499"/>
    <mergeCell ref="D502:L502"/>
    <mergeCell ref="B503:L503"/>
    <mergeCell ref="B488:L488"/>
    <mergeCell ref="B99:L99"/>
    <mergeCell ref="D517:D519"/>
    <mergeCell ref="B928:L928"/>
    <mergeCell ref="I600:I605"/>
    <mergeCell ref="L600:L605"/>
    <mergeCell ref="D600:D605"/>
    <mergeCell ref="E600:E605"/>
    <mergeCell ref="F600:F605"/>
    <mergeCell ref="B2406:L2406"/>
    <mergeCell ref="B2417:L2417"/>
    <mergeCell ref="B2258:L2258"/>
    <mergeCell ref="B2271:L2271"/>
    <mergeCell ref="B2221:L2221"/>
    <mergeCell ref="B2225:L2225"/>
    <mergeCell ref="B2234:L2234"/>
    <mergeCell ref="B2237:L2237"/>
    <mergeCell ref="B2246:L2246"/>
    <mergeCell ref="B2249:L2249"/>
    <mergeCell ref="B2261:L2261"/>
    <mergeCell ref="B2295:L2295"/>
    <mergeCell ref="B2321:L2321"/>
    <mergeCell ref="B2274:L2274"/>
    <mergeCell ref="B2283:L2283"/>
    <mergeCell ref="B2286:L2286"/>
    <mergeCell ref="B2298:L2298"/>
    <mergeCell ref="B2308:L2308"/>
    <mergeCell ref="D595:D597"/>
    <mergeCell ref="E595:E597"/>
    <mergeCell ref="F595:F597"/>
    <mergeCell ref="I595:I597"/>
    <mergeCell ref="L595:L597"/>
    <mergeCell ref="D699:D701"/>
    <mergeCell ref="E699:E701"/>
    <mergeCell ref="F699:F701"/>
    <mergeCell ref="I699:I701"/>
    <mergeCell ref="L699:L701"/>
    <mergeCell ref="B682:L682"/>
    <mergeCell ref="D684:L684"/>
    <mergeCell ref="B685:L685"/>
    <mergeCell ref="B1743:L1743"/>
    <mergeCell ref="B2212:L2212"/>
    <mergeCell ref="B2141:L2141"/>
    <mergeCell ref="B2150:L2150"/>
    <mergeCell ref="B2153:L2153"/>
    <mergeCell ref="B2162:L2162"/>
    <mergeCell ref="B2165:L2165"/>
    <mergeCell ref="B2197:L2197"/>
    <mergeCell ref="B2200:L2200"/>
    <mergeCell ref="B2209:L2209"/>
    <mergeCell ref="D2104:H2104"/>
    <mergeCell ref="B2101:L2101"/>
    <mergeCell ref="B2128:L2128"/>
    <mergeCell ref="B2105:L2105"/>
    <mergeCell ref="B2125:L2125"/>
    <mergeCell ref="B2138:L2138"/>
    <mergeCell ref="B2056:L2056"/>
    <mergeCell ref="D2106:H2106"/>
    <mergeCell ref="B1953:L1953"/>
    <mergeCell ref="B2174:L2174"/>
    <mergeCell ref="B2177:L2177"/>
    <mergeCell ref="B3892:L3892"/>
    <mergeCell ref="B3901:L3901"/>
    <mergeCell ref="B3844:L3844"/>
    <mergeCell ref="B3853:L3853"/>
    <mergeCell ref="B3856:L3856"/>
    <mergeCell ref="B3865:L3865"/>
    <mergeCell ref="B3868:L3868"/>
    <mergeCell ref="B3877:L3877"/>
    <mergeCell ref="B3743:L3743"/>
    <mergeCell ref="B3760:L3760"/>
    <mergeCell ref="D3831:L3831"/>
    <mergeCell ref="D3843:L3843"/>
    <mergeCell ref="D3855:L3855"/>
    <mergeCell ref="D3867:L3867"/>
    <mergeCell ref="D3879:L3879"/>
    <mergeCell ref="D3891:L3891"/>
    <mergeCell ref="B3800:L3800"/>
    <mergeCell ref="B3817:L3817"/>
    <mergeCell ref="B3820:L3820"/>
    <mergeCell ref="D3763:J3763"/>
    <mergeCell ref="B3764:L3764"/>
    <mergeCell ref="B3829:L3829"/>
    <mergeCell ref="B3832:L3832"/>
    <mergeCell ref="B3841:L3841"/>
    <mergeCell ref="B3905:L3905"/>
    <mergeCell ref="B3914:L3914"/>
    <mergeCell ref="B3917:L3917"/>
    <mergeCell ref="B3927:L3927"/>
    <mergeCell ref="B3930:L3930"/>
    <mergeCell ref="D3904:L3904"/>
    <mergeCell ref="D3916:L3916"/>
    <mergeCell ref="B4110:L4110"/>
    <mergeCell ref="B4123:L4123"/>
    <mergeCell ref="B4045:L4045"/>
    <mergeCell ref="B4056:L4056"/>
    <mergeCell ref="B4059:L4059"/>
    <mergeCell ref="B4071:L4071"/>
    <mergeCell ref="B4074:L4074"/>
    <mergeCell ref="B4092:L4092"/>
    <mergeCell ref="D4058:J4058"/>
    <mergeCell ref="D4013:L4013"/>
    <mergeCell ref="D4044:L4044"/>
    <mergeCell ref="D4073:L4073"/>
    <mergeCell ref="B4001:L4001"/>
    <mergeCell ref="B4011:L4011"/>
    <mergeCell ref="B4014:L4014"/>
    <mergeCell ref="D4094:L4094"/>
    <mergeCell ref="B4095:L4095"/>
    <mergeCell ref="D4224:L4224"/>
    <mergeCell ref="B4225:L4225"/>
    <mergeCell ref="B4233:L4233"/>
    <mergeCell ref="D4235:L4235"/>
    <mergeCell ref="B4236:L4236"/>
    <mergeCell ref="B4695:L4695"/>
    <mergeCell ref="B4704:L4704"/>
    <mergeCell ref="B4707:L4707"/>
    <mergeCell ref="B4716:L4716"/>
    <mergeCell ref="B4532:L4532"/>
    <mergeCell ref="B4565:L4565"/>
    <mergeCell ref="B4635:L4635"/>
    <mergeCell ref="D4672:J4672"/>
    <mergeCell ref="B4673:L4673"/>
    <mergeCell ref="D4534:L4534"/>
    <mergeCell ref="D4567:L4567"/>
    <mergeCell ref="D4637:L4637"/>
    <mergeCell ref="D4694:J4694"/>
    <mergeCell ref="D4706:J4706"/>
    <mergeCell ref="B4692:L4692"/>
    <mergeCell ref="D4454:L4454"/>
    <mergeCell ref="D4490:L4490"/>
    <mergeCell ref="B4396:L4396"/>
    <mergeCell ref="B4398:L4398"/>
    <mergeCell ref="B4833:L4833"/>
    <mergeCell ref="B4842:L4842"/>
    <mergeCell ref="B4845:L4845"/>
    <mergeCell ref="B4854:L4854"/>
    <mergeCell ref="B4857:L4857"/>
    <mergeCell ref="B4797:L4797"/>
    <mergeCell ref="B4809:L4809"/>
    <mergeCell ref="B4818:L4818"/>
    <mergeCell ref="B4821:L4821"/>
    <mergeCell ref="D4832:L4832"/>
    <mergeCell ref="D4844:L4844"/>
    <mergeCell ref="D4856:L4856"/>
    <mergeCell ref="B5072:L5072"/>
    <mergeCell ref="B5084:L5084"/>
    <mergeCell ref="B5093:L5093"/>
    <mergeCell ref="B5096:L5096"/>
    <mergeCell ref="B5104:L5104"/>
    <mergeCell ref="B5207:L5207"/>
    <mergeCell ref="B5214:L5214"/>
    <mergeCell ref="B5217:L5217"/>
    <mergeCell ref="B5187:L5187"/>
    <mergeCell ref="B5194:L5194"/>
    <mergeCell ref="B5197:L5197"/>
    <mergeCell ref="B5204:L5204"/>
    <mergeCell ref="B5143:L5143"/>
    <mergeCell ref="B5151:L5151"/>
    <mergeCell ref="B5154:L5154"/>
    <mergeCell ref="B5162:L5162"/>
    <mergeCell ref="B5165:L5165"/>
    <mergeCell ref="B5173:L5173"/>
    <mergeCell ref="D5175:L5175"/>
    <mergeCell ref="D5186:L5186"/>
    <mergeCell ref="D5196:L5196"/>
    <mergeCell ref="B5176:L5176"/>
    <mergeCell ref="B5184:L5184"/>
    <mergeCell ref="D5083:L5083"/>
    <mergeCell ref="B5224:L5224"/>
    <mergeCell ref="B5227:L5227"/>
    <mergeCell ref="B5258:L5258"/>
    <mergeCell ref="B5268:L5268"/>
    <mergeCell ref="B5271:L5271"/>
    <mergeCell ref="B5281:L5281"/>
    <mergeCell ref="B5228:L5228"/>
    <mergeCell ref="B5235:L5235"/>
    <mergeCell ref="B5238:L5238"/>
    <mergeCell ref="B5245:L5245"/>
    <mergeCell ref="B5248:L5248"/>
    <mergeCell ref="B5255:L5255"/>
    <mergeCell ref="D5270:L5270"/>
    <mergeCell ref="B4:J6"/>
    <mergeCell ref="B7:L7"/>
    <mergeCell ref="B43:L43"/>
    <mergeCell ref="B46:L46"/>
    <mergeCell ref="B55:L55"/>
    <mergeCell ref="B58:L58"/>
    <mergeCell ref="B67:L67"/>
    <mergeCell ref="B70:L70"/>
    <mergeCell ref="B79:L79"/>
    <mergeCell ref="B34:L34"/>
    <mergeCell ref="B30:L30"/>
    <mergeCell ref="B21:L21"/>
    <mergeCell ref="B18:L18"/>
    <mergeCell ref="B9:L9"/>
    <mergeCell ref="B115:L115"/>
    <mergeCell ref="B118:L118"/>
    <mergeCell ref="B127:L127"/>
    <mergeCell ref="B130:L130"/>
    <mergeCell ref="B139:L139"/>
    <mergeCell ref="B142:L142"/>
    <mergeCell ref="B151:L151"/>
    <mergeCell ref="B414:L414"/>
    <mergeCell ref="B457:L457"/>
    <mergeCell ref="D459:L459"/>
    <mergeCell ref="B460:L460"/>
    <mergeCell ref="B470:L470"/>
    <mergeCell ref="D472:L472"/>
    <mergeCell ref="B473:L473"/>
    <mergeCell ref="D487:L487"/>
    <mergeCell ref="D154:L154"/>
    <mergeCell ref="B155:L155"/>
    <mergeCell ref="B411:L411"/>
    <mergeCell ref="D413:L413"/>
    <mergeCell ref="D1406:L1406"/>
    <mergeCell ref="B1420:L1420"/>
    <mergeCell ref="B1117:L1117"/>
    <mergeCell ref="B1302:L1302"/>
    <mergeCell ref="B1305:L1305"/>
    <mergeCell ref="B1315:L1315"/>
    <mergeCell ref="B1318:L1318"/>
    <mergeCell ref="B1407:L1407"/>
    <mergeCell ref="B1180:L1180"/>
    <mergeCell ref="B1183:L1183"/>
    <mergeCell ref="B1192:L1192"/>
    <mergeCell ref="B1196:L1196"/>
    <mergeCell ref="B1206:L1206"/>
    <mergeCell ref="B1209:L1209"/>
    <mergeCell ref="B1255:L1255"/>
    <mergeCell ref="B1258:L1258"/>
    <mergeCell ref="B1120:L1120"/>
    <mergeCell ref="B1132:L1132"/>
    <mergeCell ref="B1144:L1144"/>
    <mergeCell ref="B1156:L1156"/>
    <mergeCell ref="B1129:L1129"/>
    <mergeCell ref="B1106:L1106"/>
    <mergeCell ref="B1020:L1020"/>
    <mergeCell ref="B1045:L1045"/>
    <mergeCell ref="B1455:L1455"/>
    <mergeCell ref="D1457:L1457"/>
    <mergeCell ref="B1094:L1094"/>
    <mergeCell ref="B1423:L1423"/>
    <mergeCell ref="D1553:L1553"/>
    <mergeCell ref="B1554:L1554"/>
    <mergeCell ref="B1103:L1103"/>
    <mergeCell ref="B1171:L1171"/>
    <mergeCell ref="B1141:L1141"/>
    <mergeCell ref="B1153:L1153"/>
    <mergeCell ref="B1168:L1168"/>
    <mergeCell ref="B1437:L1437"/>
    <mergeCell ref="D1439:L1439"/>
    <mergeCell ref="B1440:L1440"/>
    <mergeCell ref="B1355:L1355"/>
    <mergeCell ref="B1358:L1358"/>
    <mergeCell ref="B1366:L1366"/>
    <mergeCell ref="B1369:L1369"/>
    <mergeCell ref="B1380:L1380"/>
    <mergeCell ref="B1384:L1384"/>
    <mergeCell ref="B1404:L1404"/>
    <mergeCell ref="B1017:L1017"/>
    <mergeCell ref="D1019:J1019"/>
    <mergeCell ref="B1029:L1029"/>
    <mergeCell ref="B1032:L1032"/>
    <mergeCell ref="B1041:L1041"/>
    <mergeCell ref="B1054:L1054"/>
    <mergeCell ref="B1067:L1067"/>
    <mergeCell ref="B1079:L1079"/>
    <mergeCell ref="B1091:L1091"/>
    <mergeCell ref="B1057:L1057"/>
    <mergeCell ref="B1070:L1070"/>
    <mergeCell ref="B1082:L1082"/>
    <mergeCell ref="D1021:H1021"/>
    <mergeCell ref="B2499:L2499"/>
    <mergeCell ref="B2502:L2502"/>
    <mergeCell ref="B2514:L2514"/>
    <mergeCell ref="B2517:L2517"/>
    <mergeCell ref="D1598:L1598"/>
    <mergeCell ref="B1599:L1599"/>
    <mergeCell ref="B1614:L1614"/>
    <mergeCell ref="B1618:L1618"/>
    <mergeCell ref="B1631:L1631"/>
    <mergeCell ref="B1640:L1640"/>
    <mergeCell ref="B1643:L1643"/>
    <mergeCell ref="B1654:L1654"/>
    <mergeCell ref="B1678:L1678"/>
    <mergeCell ref="B1703:L1703"/>
    <mergeCell ref="B1706:L1706"/>
    <mergeCell ref="B1752:L1752"/>
    <mergeCell ref="B1771:L1771"/>
    <mergeCell ref="B1803:L1803"/>
    <mergeCell ref="B1857:L1857"/>
    <mergeCell ref="B1907:L1907"/>
    <mergeCell ref="B2487:L2487"/>
    <mergeCell ref="B2490:L2490"/>
    <mergeCell ref="B1739:L1739"/>
    <mergeCell ref="B1741:L1741"/>
    <mergeCell ref="D1422:L1422"/>
    <mergeCell ref="B2186:L2186"/>
    <mergeCell ref="B2189:L2189"/>
    <mergeCell ref="B1458:L1458"/>
    <mergeCell ref="B1582:L1582"/>
    <mergeCell ref="B1478:L1478"/>
    <mergeCell ref="D1480:L1480"/>
    <mergeCell ref="B1481:L1481"/>
    <mergeCell ref="B1497:L1497"/>
    <mergeCell ref="D1499:L1499"/>
    <mergeCell ref="B1500:L1500"/>
    <mergeCell ref="B1531:L1531"/>
    <mergeCell ref="B1551:L1551"/>
    <mergeCell ref="D1564:L1564"/>
    <mergeCell ref="B1565:L1565"/>
    <mergeCell ref="D1581:L1581"/>
    <mergeCell ref="D1533:L1533"/>
    <mergeCell ref="B1534:L1534"/>
    <mergeCell ref="B1510:L1510"/>
    <mergeCell ref="D1512:L1512"/>
    <mergeCell ref="B1513:L1513"/>
    <mergeCell ref="B1579:L1579"/>
    <mergeCell ref="D1555:H1555"/>
    <mergeCell ref="B1562:L1562"/>
    <mergeCell ref="B2587:L2587"/>
    <mergeCell ref="B2617:L2617"/>
    <mergeCell ref="B2620:L2620"/>
    <mergeCell ref="B2627:L2627"/>
    <mergeCell ref="B2542:L2542"/>
    <mergeCell ref="B2550:L2550"/>
    <mergeCell ref="B2554:L2554"/>
    <mergeCell ref="B2539:L2539"/>
    <mergeCell ref="B2562:L2562"/>
    <mergeCell ref="B2565:L2565"/>
    <mergeCell ref="B5284:L5284"/>
    <mergeCell ref="B5311:L5311"/>
    <mergeCell ref="B3028:L3028"/>
    <mergeCell ref="B397:L397"/>
    <mergeCell ref="B401:L401"/>
    <mergeCell ref="D717:D722"/>
    <mergeCell ref="E717:E722"/>
    <mergeCell ref="F717:F722"/>
    <mergeCell ref="I717:I722"/>
    <mergeCell ref="L717:L722"/>
    <mergeCell ref="B3024:L3024"/>
    <mergeCell ref="B2527:L2527"/>
    <mergeCell ref="B2650:L2650"/>
    <mergeCell ref="B2573:L2573"/>
    <mergeCell ref="B2576:L2576"/>
    <mergeCell ref="B2584:L2584"/>
    <mergeCell ref="B2595:L2595"/>
    <mergeCell ref="B2598:L2598"/>
    <mergeCell ref="B2606:L2606"/>
    <mergeCell ref="B2609:L2609"/>
    <mergeCell ref="B2630:L2630"/>
    <mergeCell ref="B2637:L2637"/>
    <mergeCell ref="B2640:L2640"/>
    <mergeCell ref="B2647:L2647"/>
  </mergeCells>
  <phoneticPr fontId="8" type="noConversion"/>
  <hyperlinks>
    <hyperlink ref="B222" r:id="rId1" xr:uid="{50837110-938A-4403-B679-A0068ED2390B}"/>
    <hyperlink ref="B223" r:id="rId2" xr:uid="{2083D1D8-50BE-4393-866D-0A885189E2DA}"/>
    <hyperlink ref="B292" r:id="rId3" xr:uid="{851B41E0-608B-4C22-9B6E-5BFB35A4C304}"/>
    <hyperlink ref="B293" r:id="rId4" xr:uid="{4622D233-3545-4AC7-9932-4A960A87C039}"/>
    <hyperlink ref="B2883" r:id="rId5" display="4mm@0,15" xr:uid="{53ED1B04-5D5A-4F18-8AF1-66BC8E2CEDAB}"/>
    <hyperlink ref="B2852" r:id="rId6" display="4mm@0,15" xr:uid="{4E6F4B16-5A09-44AF-A36D-34C7150336FC}"/>
    <hyperlink ref="B2846" r:id="rId7" xr:uid="{AC7E8782-66EC-4537-B26A-BA9B4416D1BC}"/>
    <hyperlink ref="B2915" r:id="rId8" display="7.5mm@0,15" xr:uid="{1828652E-AD96-44A2-9D45-5E3A3C1A55C1}"/>
    <hyperlink ref="B2944" r:id="rId9" display="7.5mm@0,15" xr:uid="{F754CA65-A51C-4B67-A435-C95B23D7C833}"/>
    <hyperlink ref="B3002" r:id="rId10" display="7.5mm@0,15" xr:uid="{7C05DBDF-ADE1-48D7-8A3B-FCC4857DFDA5}"/>
    <hyperlink ref="B3546" r:id="rId11" display="7.5mm@0,15" xr:uid="{70930B5F-4C21-475E-A4E8-06DCBF26EC6F}"/>
    <hyperlink ref="B3536" r:id="rId12" display="7.5mm@0,15" xr:uid="{753E97A2-EAAA-4C1A-8FC4-C7CE949374B9}"/>
    <hyperlink ref="B3555" r:id="rId13" display="7.5mm@0,15" xr:uid="{45CE1377-39B6-4BDD-A774-1997AE79EE93}"/>
    <hyperlink ref="B3643" r:id="rId14" display="7.5mm@0,15" xr:uid="{3626A13E-C162-4C0F-A978-D6D5A53802EB}"/>
    <hyperlink ref="B3633" r:id="rId15" display="7.5mm@0,15" xr:uid="{9F61D56D-C2AD-4EFE-A132-A43DAB863117}"/>
    <hyperlink ref="B3652" r:id="rId16" display="7.5mm@0,15" xr:uid="{A64A9B6E-FF50-4EA5-8A40-3CCE37DF6BDB}"/>
  </hyperlinks>
  <pageMargins left="0.7" right="0.7" top="0.75" bottom="0.75" header="0.3" footer="0.3"/>
  <pageSetup paperSize="9" orientation="portrait" r:id="rId17"/>
  <ignoredErrors>
    <ignoredError sqref="L173:L186 L168:L172 L189:L224 L164:L166" unlockedFormula="1"/>
  </ignoredErrors>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4:Y779"/>
  <sheetViews>
    <sheetView tabSelected="1" zoomScale="47" zoomScaleNormal="47" workbookViewId="0">
      <selection activeCell="C6" sqref="C6:S11"/>
    </sheetView>
  </sheetViews>
  <sheetFormatPr baseColWidth="10" defaultColWidth="11.42578125" defaultRowHeight="15"/>
  <cols>
    <col min="1" max="2" width="3.5703125" style="75" customWidth="1"/>
    <col min="3" max="3" width="7.42578125" style="75" customWidth="1"/>
    <col min="4" max="4" width="5.7109375" style="75" customWidth="1"/>
    <col min="5" max="5" width="5" style="76" customWidth="1"/>
    <col min="6" max="6" width="5.28515625" style="75" customWidth="1"/>
    <col min="7" max="7" width="86.28515625" style="75" customWidth="1"/>
    <col min="8" max="8" width="8.42578125" style="75" customWidth="1"/>
    <col min="9" max="9" width="18.42578125" style="75" customWidth="1"/>
    <col min="10" max="10" width="23.42578125" style="75" customWidth="1"/>
    <col min="11" max="11" width="33.140625" style="75" customWidth="1"/>
    <col min="12" max="12" width="4.85546875" style="76" customWidth="1"/>
    <col min="13" max="13" width="16" style="76" customWidth="1"/>
    <col min="14" max="14" width="17.5703125" style="76" customWidth="1"/>
    <col min="15" max="15" width="34.28515625" style="76" customWidth="1"/>
    <col min="16" max="16" width="33" style="76" customWidth="1"/>
    <col min="17" max="17" width="34.28515625" style="76" customWidth="1"/>
    <col min="18" max="18" width="4.140625" style="76" customWidth="1"/>
    <col min="19" max="19" width="34.28515625" style="76" customWidth="1"/>
    <col min="20" max="20" width="26.28515625" style="76" customWidth="1"/>
    <col min="21" max="21" width="36.85546875" style="76" customWidth="1"/>
    <col min="22" max="22" width="50.28515625" style="75" customWidth="1"/>
    <col min="23" max="23" width="16.85546875" style="75" bestFit="1" customWidth="1"/>
    <col min="24" max="24" width="11.5703125" style="75" bestFit="1" customWidth="1"/>
    <col min="25" max="16384" width="11.42578125" style="75"/>
  </cols>
  <sheetData>
    <row r="4" spans="2:21" ht="15.75" thickBot="1"/>
    <row r="5" spans="2:21" ht="15.75" thickTop="1">
      <c r="B5" s="77"/>
      <c r="C5" s="78"/>
      <c r="D5" s="78"/>
      <c r="E5" s="79"/>
      <c r="F5" s="78"/>
      <c r="G5" s="78"/>
      <c r="H5" s="78"/>
      <c r="I5" s="78"/>
      <c r="J5" s="78"/>
      <c r="K5" s="78"/>
      <c r="L5" s="79"/>
      <c r="M5" s="79"/>
      <c r="N5" s="79"/>
      <c r="O5" s="79"/>
      <c r="P5" s="79"/>
      <c r="Q5" s="79"/>
      <c r="R5" s="79"/>
      <c r="S5" s="79"/>
      <c r="T5" s="79"/>
      <c r="U5" s="496"/>
    </row>
    <row r="6" spans="2:21">
      <c r="B6" s="80"/>
      <c r="C6" s="966" t="s">
        <v>1174</v>
      </c>
      <c r="D6" s="967"/>
      <c r="E6" s="967"/>
      <c r="F6" s="967"/>
      <c r="G6" s="967"/>
      <c r="H6" s="967"/>
      <c r="I6" s="967"/>
      <c r="J6" s="967"/>
      <c r="K6" s="967"/>
      <c r="L6" s="967"/>
      <c r="M6" s="967"/>
      <c r="N6" s="967"/>
      <c r="O6" s="967"/>
      <c r="P6" s="967"/>
      <c r="Q6" s="967"/>
      <c r="R6" s="967"/>
      <c r="S6" s="967"/>
      <c r="U6" s="497"/>
    </row>
    <row r="7" spans="2:21">
      <c r="B7" s="80"/>
      <c r="C7" s="967"/>
      <c r="D7" s="967"/>
      <c r="E7" s="967"/>
      <c r="F7" s="967"/>
      <c r="G7" s="967"/>
      <c r="H7" s="967"/>
      <c r="I7" s="967"/>
      <c r="J7" s="967"/>
      <c r="K7" s="967"/>
      <c r="L7" s="967"/>
      <c r="M7" s="967"/>
      <c r="N7" s="967"/>
      <c r="O7" s="967"/>
      <c r="P7" s="967"/>
      <c r="Q7" s="967"/>
      <c r="R7" s="967"/>
      <c r="S7" s="967"/>
      <c r="U7" s="497"/>
    </row>
    <row r="8" spans="2:21">
      <c r="B8" s="80"/>
      <c r="C8" s="967"/>
      <c r="D8" s="967"/>
      <c r="E8" s="967"/>
      <c r="F8" s="967"/>
      <c r="G8" s="967"/>
      <c r="H8" s="967"/>
      <c r="I8" s="967"/>
      <c r="J8" s="967"/>
      <c r="K8" s="967"/>
      <c r="L8" s="967"/>
      <c r="M8" s="967"/>
      <c r="N8" s="967"/>
      <c r="O8" s="967"/>
      <c r="P8" s="967"/>
      <c r="Q8" s="967"/>
      <c r="R8" s="967"/>
      <c r="S8" s="967"/>
      <c r="U8" s="497"/>
    </row>
    <row r="9" spans="2:21">
      <c r="B9" s="80"/>
      <c r="C9" s="967"/>
      <c r="D9" s="967"/>
      <c r="E9" s="967"/>
      <c r="F9" s="967"/>
      <c r="G9" s="967"/>
      <c r="H9" s="967"/>
      <c r="I9" s="967"/>
      <c r="J9" s="967"/>
      <c r="K9" s="967"/>
      <c r="L9" s="967"/>
      <c r="M9" s="967"/>
      <c r="N9" s="967"/>
      <c r="O9" s="967"/>
      <c r="P9" s="967"/>
      <c r="Q9" s="967"/>
      <c r="R9" s="967"/>
      <c r="S9" s="967"/>
      <c r="U9" s="497"/>
    </row>
    <row r="10" spans="2:21">
      <c r="B10" s="80"/>
      <c r="C10" s="967"/>
      <c r="D10" s="967"/>
      <c r="E10" s="967"/>
      <c r="F10" s="967"/>
      <c r="G10" s="967"/>
      <c r="H10" s="967"/>
      <c r="I10" s="967"/>
      <c r="J10" s="967"/>
      <c r="K10" s="967"/>
      <c r="L10" s="967"/>
      <c r="M10" s="967"/>
      <c r="N10" s="967"/>
      <c r="O10" s="967"/>
      <c r="P10" s="967"/>
      <c r="Q10" s="967"/>
      <c r="R10" s="967"/>
      <c r="S10" s="967"/>
      <c r="U10" s="497"/>
    </row>
    <row r="11" spans="2:21" ht="46.9" customHeight="1">
      <c r="B11" s="80"/>
      <c r="C11" s="967"/>
      <c r="D11" s="967"/>
      <c r="E11" s="967"/>
      <c r="F11" s="967"/>
      <c r="G11" s="967"/>
      <c r="H11" s="967"/>
      <c r="I11" s="967"/>
      <c r="J11" s="967"/>
      <c r="K11" s="967"/>
      <c r="L11" s="967"/>
      <c r="M11" s="967"/>
      <c r="N11" s="967"/>
      <c r="O11" s="967"/>
      <c r="P11" s="967"/>
      <c r="Q11" s="967"/>
      <c r="R11" s="967"/>
      <c r="S11" s="967"/>
      <c r="U11" s="497"/>
    </row>
    <row r="12" spans="2:21" ht="15.75">
      <c r="B12" s="80"/>
      <c r="C12" s="968" t="s">
        <v>1160</v>
      </c>
      <c r="D12" s="968"/>
      <c r="E12" s="968"/>
      <c r="F12" s="968"/>
      <c r="G12" s="567" t="s">
        <v>1161</v>
      </c>
      <c r="H12" s="969"/>
      <c r="I12" s="969"/>
      <c r="J12" s="969"/>
      <c r="K12" s="969"/>
      <c r="L12" s="969"/>
      <c r="M12" s="969"/>
      <c r="N12" s="969"/>
      <c r="O12" s="569" t="s">
        <v>1162</v>
      </c>
      <c r="P12" s="957" t="s">
        <v>1199</v>
      </c>
      <c r="Q12" s="958"/>
      <c r="R12" s="958"/>
      <c r="S12" s="959"/>
      <c r="U12" s="497"/>
    </row>
    <row r="13" spans="2:21" ht="15.75">
      <c r="B13" s="80"/>
      <c r="C13" s="957" t="s">
        <v>1163</v>
      </c>
      <c r="D13" s="958"/>
      <c r="E13" s="958"/>
      <c r="F13" s="958"/>
      <c r="G13" s="959"/>
      <c r="H13" s="960" t="s">
        <v>1164</v>
      </c>
      <c r="I13" s="960"/>
      <c r="J13" s="960"/>
      <c r="K13" s="960" t="s">
        <v>1176</v>
      </c>
      <c r="L13" s="960"/>
      <c r="M13" s="960"/>
      <c r="N13" s="969"/>
      <c r="O13" s="568"/>
      <c r="P13" s="970"/>
      <c r="Q13" s="971"/>
      <c r="R13" s="971"/>
      <c r="S13" s="972"/>
      <c r="U13" s="497"/>
    </row>
    <row r="14" spans="2:21" ht="15.75">
      <c r="B14" s="80"/>
      <c r="C14" s="956" t="s">
        <v>1165</v>
      </c>
      <c r="D14" s="956"/>
      <c r="E14" s="956"/>
      <c r="F14" s="956"/>
      <c r="G14" s="567" t="s">
        <v>1166</v>
      </c>
      <c r="H14" s="960" t="s">
        <v>1167</v>
      </c>
      <c r="I14" s="960"/>
      <c r="J14" s="960"/>
      <c r="K14" s="960" t="s">
        <v>1168</v>
      </c>
      <c r="L14" s="973"/>
      <c r="M14" s="973"/>
      <c r="N14" s="973"/>
      <c r="O14" s="569" t="s">
        <v>1169</v>
      </c>
      <c r="P14" s="957" t="s">
        <v>1175</v>
      </c>
      <c r="Q14" s="958"/>
      <c r="R14" s="958"/>
      <c r="S14" s="959"/>
      <c r="U14" s="497"/>
    </row>
    <row r="15" spans="2:21" ht="15.75">
      <c r="B15" s="80"/>
      <c r="C15" s="956" t="s">
        <v>1170</v>
      </c>
      <c r="D15" s="956"/>
      <c r="E15" s="956"/>
      <c r="F15" s="956"/>
      <c r="G15" s="567" t="s">
        <v>1171</v>
      </c>
      <c r="H15" s="957"/>
      <c r="I15" s="958"/>
      <c r="J15" s="959"/>
      <c r="K15" s="585"/>
      <c r="L15" s="585"/>
      <c r="M15" s="585"/>
      <c r="N15" s="585"/>
      <c r="O15" s="569"/>
      <c r="P15" s="957"/>
      <c r="Q15" s="958"/>
      <c r="R15" s="958"/>
      <c r="S15" s="959"/>
      <c r="U15" s="497"/>
    </row>
    <row r="16" spans="2:21" ht="30" customHeight="1">
      <c r="B16" s="80"/>
      <c r="C16" s="956" t="s">
        <v>1172</v>
      </c>
      <c r="D16" s="956"/>
      <c r="E16" s="956"/>
      <c r="F16" s="956"/>
      <c r="G16" s="567" t="s">
        <v>1173</v>
      </c>
      <c r="H16" s="960" t="s">
        <v>1177</v>
      </c>
      <c r="I16" s="960"/>
      <c r="J16" s="960"/>
      <c r="K16" s="961">
        <v>45189616059.251404</v>
      </c>
      <c r="L16" s="962"/>
      <c r="M16" s="962"/>
      <c r="N16" s="962"/>
      <c r="O16" s="569" t="s">
        <v>1178</v>
      </c>
      <c r="P16" s="963">
        <f>+U760</f>
        <v>64329946193.251358</v>
      </c>
      <c r="Q16" s="964"/>
      <c r="R16" s="964"/>
      <c r="S16" s="965"/>
      <c r="U16" s="497"/>
    </row>
    <row r="17" spans="2:22" ht="16.5" thickBot="1">
      <c r="B17" s="80"/>
      <c r="C17" s="919"/>
      <c r="D17" s="919"/>
      <c r="E17" s="919"/>
      <c r="F17" s="919"/>
      <c r="G17" s="919"/>
      <c r="H17" s="919"/>
      <c r="I17" s="919"/>
      <c r="J17" s="919"/>
      <c r="K17" s="919"/>
      <c r="L17" s="919"/>
      <c r="M17" s="919"/>
      <c r="N17" s="919"/>
      <c r="O17" s="919"/>
      <c r="P17" s="919"/>
      <c r="Q17" s="919"/>
      <c r="R17" s="586"/>
      <c r="S17" s="586"/>
      <c r="T17" s="586"/>
      <c r="U17" s="498"/>
    </row>
    <row r="18" spans="2:22" ht="30" customHeight="1" thickBot="1">
      <c r="B18" s="80"/>
      <c r="C18" s="928" t="s">
        <v>925</v>
      </c>
      <c r="D18" s="929"/>
      <c r="E18" s="929"/>
      <c r="F18" s="929"/>
      <c r="G18" s="929"/>
      <c r="H18" s="929"/>
      <c r="I18" s="929"/>
      <c r="J18" s="929"/>
      <c r="K18" s="929"/>
      <c r="L18" s="870"/>
      <c r="M18" s="873" t="s">
        <v>913</v>
      </c>
      <c r="N18" s="874"/>
      <c r="O18" s="874"/>
      <c r="P18" s="874"/>
      <c r="Q18" s="875"/>
      <c r="R18" s="572"/>
      <c r="S18" s="873" t="s">
        <v>921</v>
      </c>
      <c r="T18" s="874"/>
      <c r="U18" s="924"/>
    </row>
    <row r="19" spans="2:22" ht="30" customHeight="1" thickBot="1">
      <c r="B19" s="80"/>
      <c r="C19" s="573" t="s">
        <v>0</v>
      </c>
      <c r="D19" s="574" t="s">
        <v>1</v>
      </c>
      <c r="E19" s="930" t="s">
        <v>2</v>
      </c>
      <c r="F19" s="930"/>
      <c r="G19" s="575" t="s">
        <v>3</v>
      </c>
      <c r="H19" s="575" t="s">
        <v>4</v>
      </c>
      <c r="I19" s="575" t="s">
        <v>5</v>
      </c>
      <c r="J19" s="575" t="s">
        <v>922</v>
      </c>
      <c r="K19" s="576" t="s">
        <v>916</v>
      </c>
      <c r="L19" s="871"/>
      <c r="M19" s="575" t="s">
        <v>914</v>
      </c>
      <c r="N19" s="575" t="s">
        <v>915</v>
      </c>
      <c r="O19" s="575" t="s">
        <v>923</v>
      </c>
      <c r="P19" s="575" t="s">
        <v>924</v>
      </c>
      <c r="Q19" s="575" t="s">
        <v>916</v>
      </c>
      <c r="R19" s="577"/>
      <c r="S19" s="575" t="s">
        <v>5</v>
      </c>
      <c r="T19" s="575" t="s">
        <v>922</v>
      </c>
      <c r="U19" s="587" t="s">
        <v>916</v>
      </c>
    </row>
    <row r="20" spans="2:22" ht="30" customHeight="1" thickBot="1">
      <c r="B20" s="80"/>
      <c r="C20" s="570" t="s">
        <v>19</v>
      </c>
      <c r="D20" s="571"/>
      <c r="E20" s="571"/>
      <c r="F20" s="571"/>
      <c r="G20" s="571"/>
      <c r="H20" s="571"/>
      <c r="I20" s="588"/>
      <c r="J20" s="588"/>
      <c r="K20" s="588"/>
      <c r="L20" s="588"/>
      <c r="M20" s="571"/>
      <c r="N20" s="571"/>
      <c r="O20" s="571"/>
      <c r="P20" s="571"/>
      <c r="Q20" s="571"/>
      <c r="R20" s="589"/>
      <c r="S20" s="589"/>
      <c r="T20" s="589"/>
      <c r="U20" s="500"/>
    </row>
    <row r="21" spans="2:22" ht="30" customHeight="1">
      <c r="B21" s="80"/>
      <c r="C21" s="429">
        <v>1.1000000000000001</v>
      </c>
      <c r="D21" s="430"/>
      <c r="E21" s="430"/>
      <c r="F21" s="430"/>
      <c r="G21" s="434" t="s">
        <v>20</v>
      </c>
      <c r="H21" s="430" t="s">
        <v>21</v>
      </c>
      <c r="I21" s="199">
        <v>14422</v>
      </c>
      <c r="J21" s="428">
        <v>1825</v>
      </c>
      <c r="K21" s="428">
        <f t="shared" ref="K21:K31" si="0">I21*J21</f>
        <v>26320150</v>
      </c>
      <c r="L21" s="876"/>
      <c r="M21" s="310">
        <f>+IF(I21&lt;S21,S21-I21,0)</f>
        <v>6902.3999999999978</v>
      </c>
      <c r="N21" s="310">
        <f t="shared" ref="N21:N31" si="1">+IF(I21&gt;S21,-S21+I21,0)</f>
        <v>0</v>
      </c>
      <c r="O21" s="300">
        <f t="shared" ref="O21:O31" si="2">+M21*J21</f>
        <v>12596879.999999996</v>
      </c>
      <c r="P21" s="300">
        <f t="shared" ref="P21:P31" si="3">+N21*J21</f>
        <v>0</v>
      </c>
      <c r="Q21" s="300">
        <f>+O21-P21</f>
        <v>12596879.999999996</v>
      </c>
      <c r="R21" s="925"/>
      <c r="S21" s="301">
        <f>+'MEMORIAS DE CANTIDADES'!L10</f>
        <v>21324.399999999998</v>
      </c>
      <c r="T21" s="302">
        <f>+J21</f>
        <v>1825</v>
      </c>
      <c r="U21" s="501">
        <f>+S21*T21</f>
        <v>38917029.999999993</v>
      </c>
    </row>
    <row r="22" spans="2:22" ht="70.900000000000006" customHeight="1">
      <c r="B22" s="80"/>
      <c r="C22" s="429">
        <v>1.2</v>
      </c>
      <c r="D22" s="423"/>
      <c r="E22" s="423"/>
      <c r="F22" s="423"/>
      <c r="G22" s="432" t="s">
        <v>22</v>
      </c>
      <c r="H22" s="423" t="s">
        <v>23</v>
      </c>
      <c r="I22" s="199">
        <v>564</v>
      </c>
      <c r="J22" s="428">
        <v>49945</v>
      </c>
      <c r="K22" s="428">
        <f t="shared" si="0"/>
        <v>28168980</v>
      </c>
      <c r="L22" s="876"/>
      <c r="M22" s="307">
        <f t="shared" ref="M22:M31" si="4">+IF(I22&lt;S22,S22-I22,0)</f>
        <v>0</v>
      </c>
      <c r="N22" s="307">
        <f>+IF(I22&gt;S22,-S22+I22,0)</f>
        <v>564</v>
      </c>
      <c r="O22" s="300">
        <f t="shared" si="2"/>
        <v>0</v>
      </c>
      <c r="P22" s="300">
        <f>+N22*J22</f>
        <v>28168980</v>
      </c>
      <c r="Q22" s="300">
        <f>+O22-P22</f>
        <v>-28168980</v>
      </c>
      <c r="R22" s="925"/>
      <c r="S22" s="303">
        <v>0</v>
      </c>
      <c r="T22" s="304">
        <f>+J22</f>
        <v>49945</v>
      </c>
      <c r="U22" s="501">
        <f t="shared" ref="U22:U31" si="5">+S22*T22</f>
        <v>0</v>
      </c>
      <c r="V22" s="148"/>
    </row>
    <row r="23" spans="2:22" ht="30" customHeight="1">
      <c r="B23" s="80"/>
      <c r="C23" s="429">
        <v>1.3</v>
      </c>
      <c r="D23" s="423"/>
      <c r="E23" s="423"/>
      <c r="F23" s="423"/>
      <c r="G23" s="432" t="s">
        <v>24</v>
      </c>
      <c r="H23" s="423" t="s">
        <v>25</v>
      </c>
      <c r="I23" s="199">
        <v>893.05</v>
      </c>
      <c r="J23" s="428">
        <v>65391</v>
      </c>
      <c r="K23" s="428">
        <f t="shared" si="0"/>
        <v>58397432.549999997</v>
      </c>
      <c r="L23" s="876"/>
      <c r="M23" s="307">
        <f t="shared" si="4"/>
        <v>1239.3900000000001</v>
      </c>
      <c r="N23" s="307">
        <f t="shared" si="1"/>
        <v>0</v>
      </c>
      <c r="O23" s="300">
        <f t="shared" si="2"/>
        <v>81044951.49000001</v>
      </c>
      <c r="P23" s="300">
        <f t="shared" si="3"/>
        <v>0</v>
      </c>
      <c r="Q23" s="300">
        <f t="shared" ref="Q23:Q31" si="6">+O23-P23</f>
        <v>81044951.49000001</v>
      </c>
      <c r="R23" s="925"/>
      <c r="S23" s="303">
        <f>+'MEMORIAS DE CANTIDADES'!L35</f>
        <v>2132.44</v>
      </c>
      <c r="T23" s="304">
        <f t="shared" ref="T23:T31" si="7">+J23</f>
        <v>65391</v>
      </c>
      <c r="U23" s="501">
        <f t="shared" si="5"/>
        <v>139442384.03999999</v>
      </c>
      <c r="V23" s="148"/>
    </row>
    <row r="24" spans="2:22" ht="30" customHeight="1">
      <c r="B24" s="80"/>
      <c r="C24" s="429">
        <v>1.4</v>
      </c>
      <c r="D24" s="423"/>
      <c r="E24" s="423"/>
      <c r="F24" s="423"/>
      <c r="G24" s="432" t="s">
        <v>26</v>
      </c>
      <c r="H24" s="423" t="s">
        <v>21</v>
      </c>
      <c r="I24" s="199">
        <v>1178</v>
      </c>
      <c r="J24" s="428">
        <v>17629</v>
      </c>
      <c r="K24" s="428">
        <f t="shared" si="0"/>
        <v>20766962</v>
      </c>
      <c r="L24" s="876"/>
      <c r="M24" s="307">
        <f t="shared" si="4"/>
        <v>0</v>
      </c>
      <c r="N24" s="307">
        <f t="shared" si="1"/>
        <v>0</v>
      </c>
      <c r="O24" s="300">
        <f t="shared" si="2"/>
        <v>0</v>
      </c>
      <c r="P24" s="300">
        <f t="shared" si="3"/>
        <v>0</v>
      </c>
      <c r="Q24" s="300">
        <f t="shared" si="6"/>
        <v>0</v>
      </c>
      <c r="R24" s="925"/>
      <c r="S24" s="303">
        <f>+'MEMORIAS DE CANTIDADES'!L47</f>
        <v>1178</v>
      </c>
      <c r="T24" s="304">
        <f t="shared" si="7"/>
        <v>17629</v>
      </c>
      <c r="U24" s="501">
        <f t="shared" si="5"/>
        <v>20766962</v>
      </c>
      <c r="V24" s="148"/>
    </row>
    <row r="25" spans="2:22" ht="30" customHeight="1">
      <c r="B25" s="80"/>
      <c r="C25" s="429">
        <v>1.5</v>
      </c>
      <c r="D25" s="423"/>
      <c r="E25" s="423"/>
      <c r="F25" s="423"/>
      <c r="G25" s="432" t="s">
        <v>27</v>
      </c>
      <c r="H25" s="423" t="s">
        <v>21</v>
      </c>
      <c r="I25" s="199">
        <v>919</v>
      </c>
      <c r="J25" s="428">
        <v>34053</v>
      </c>
      <c r="K25" s="428">
        <f t="shared" si="0"/>
        <v>31294707</v>
      </c>
      <c r="L25" s="876"/>
      <c r="M25" s="307">
        <f t="shared" si="4"/>
        <v>0</v>
      </c>
      <c r="N25" s="307">
        <f t="shared" si="1"/>
        <v>0</v>
      </c>
      <c r="O25" s="300">
        <f t="shared" si="2"/>
        <v>0</v>
      </c>
      <c r="P25" s="300">
        <f t="shared" si="3"/>
        <v>0</v>
      </c>
      <c r="Q25" s="300">
        <f t="shared" si="6"/>
        <v>0</v>
      </c>
      <c r="R25" s="925"/>
      <c r="S25" s="303">
        <f>+'MEMORIAS DE CANTIDADES'!L59</f>
        <v>919</v>
      </c>
      <c r="T25" s="304">
        <f t="shared" si="7"/>
        <v>34053</v>
      </c>
      <c r="U25" s="501">
        <f t="shared" si="5"/>
        <v>31294707</v>
      </c>
      <c r="V25" s="148"/>
    </row>
    <row r="26" spans="2:22" ht="30" customHeight="1">
      <c r="B26" s="80"/>
      <c r="C26" s="429">
        <v>1.6</v>
      </c>
      <c r="D26" s="423"/>
      <c r="E26" s="423"/>
      <c r="F26" s="423"/>
      <c r="G26" s="432" t="s">
        <v>28</v>
      </c>
      <c r="H26" s="423" t="s">
        <v>29</v>
      </c>
      <c r="I26" s="199">
        <v>40</v>
      </c>
      <c r="J26" s="428">
        <v>428044</v>
      </c>
      <c r="K26" s="428">
        <f t="shared" si="0"/>
        <v>17121760</v>
      </c>
      <c r="L26" s="876"/>
      <c r="M26" s="307">
        <f t="shared" si="4"/>
        <v>0</v>
      </c>
      <c r="N26" s="307">
        <f t="shared" si="1"/>
        <v>0</v>
      </c>
      <c r="O26" s="300">
        <f t="shared" si="2"/>
        <v>0</v>
      </c>
      <c r="P26" s="300">
        <f t="shared" si="3"/>
        <v>0</v>
      </c>
      <c r="Q26" s="300">
        <f t="shared" si="6"/>
        <v>0</v>
      </c>
      <c r="R26" s="925"/>
      <c r="S26" s="303">
        <f>+'MEMORIAS DE CANTIDADES'!L71</f>
        <v>40</v>
      </c>
      <c r="T26" s="304">
        <f t="shared" si="7"/>
        <v>428044</v>
      </c>
      <c r="U26" s="501">
        <f t="shared" si="5"/>
        <v>17121760</v>
      </c>
      <c r="V26" s="148"/>
    </row>
    <row r="27" spans="2:22" ht="30" customHeight="1">
      <c r="B27" s="80"/>
      <c r="C27" s="429">
        <v>1.7</v>
      </c>
      <c r="D27" s="423"/>
      <c r="E27" s="423"/>
      <c r="F27" s="423"/>
      <c r="G27" s="432" t="s">
        <v>30</v>
      </c>
      <c r="H27" s="423" t="s">
        <v>25</v>
      </c>
      <c r="I27" s="199">
        <v>134.69999999999999</v>
      </c>
      <c r="J27" s="428">
        <v>292796</v>
      </c>
      <c r="K27" s="428">
        <f t="shared" si="0"/>
        <v>39439621.199999996</v>
      </c>
      <c r="L27" s="876"/>
      <c r="M27" s="307">
        <f t="shared" si="4"/>
        <v>55.800000000000011</v>
      </c>
      <c r="N27" s="307">
        <f t="shared" si="1"/>
        <v>0</v>
      </c>
      <c r="O27" s="300">
        <f t="shared" si="2"/>
        <v>16338016.800000003</v>
      </c>
      <c r="P27" s="300">
        <f t="shared" si="3"/>
        <v>0</v>
      </c>
      <c r="Q27" s="300">
        <f>+O27-P27</f>
        <v>16338016.800000003</v>
      </c>
      <c r="R27" s="925"/>
      <c r="S27" s="303">
        <f>+'MEMORIAS DE CANTIDADES'!L84</f>
        <v>190.5</v>
      </c>
      <c r="T27" s="304">
        <f t="shared" si="7"/>
        <v>292796</v>
      </c>
      <c r="U27" s="501">
        <f t="shared" si="5"/>
        <v>55777638</v>
      </c>
      <c r="V27" s="148"/>
    </row>
    <row r="28" spans="2:22" ht="30" customHeight="1">
      <c r="B28" s="80"/>
      <c r="C28" s="429">
        <v>1.8</v>
      </c>
      <c r="D28" s="423"/>
      <c r="E28" s="423"/>
      <c r="F28" s="423"/>
      <c r="G28" s="432" t="s">
        <v>31</v>
      </c>
      <c r="H28" s="423" t="s">
        <v>21</v>
      </c>
      <c r="I28" s="199">
        <v>566</v>
      </c>
      <c r="J28" s="428">
        <v>27092</v>
      </c>
      <c r="K28" s="428">
        <f t="shared" si="0"/>
        <v>15334072</v>
      </c>
      <c r="L28" s="876"/>
      <c r="M28" s="307">
        <f t="shared" si="4"/>
        <v>26.399999999999977</v>
      </c>
      <c r="N28" s="307">
        <f t="shared" si="1"/>
        <v>0</v>
      </c>
      <c r="O28" s="300">
        <f t="shared" si="2"/>
        <v>715228.79999999935</v>
      </c>
      <c r="P28" s="300">
        <f t="shared" si="3"/>
        <v>0</v>
      </c>
      <c r="Q28" s="300">
        <f t="shared" si="6"/>
        <v>715228.79999999935</v>
      </c>
      <c r="R28" s="925"/>
      <c r="S28" s="303">
        <f>+'MEMORIAS DE CANTIDADES'!L100</f>
        <v>592.4</v>
      </c>
      <c r="T28" s="304">
        <f t="shared" si="7"/>
        <v>27092</v>
      </c>
      <c r="U28" s="501">
        <f t="shared" si="5"/>
        <v>16049300.799999999</v>
      </c>
      <c r="V28" s="148"/>
    </row>
    <row r="29" spans="2:22" ht="30" customHeight="1">
      <c r="B29" s="80"/>
      <c r="C29" s="429">
        <v>1.9</v>
      </c>
      <c r="D29" s="423"/>
      <c r="E29" s="423"/>
      <c r="F29" s="423"/>
      <c r="G29" s="432" t="s">
        <v>32</v>
      </c>
      <c r="H29" s="423" t="s">
        <v>21</v>
      </c>
      <c r="I29" s="199">
        <v>370</v>
      </c>
      <c r="J29" s="428">
        <v>9397</v>
      </c>
      <c r="K29" s="428">
        <f t="shared" si="0"/>
        <v>3476890</v>
      </c>
      <c r="L29" s="876"/>
      <c r="M29" s="307">
        <f t="shared" si="4"/>
        <v>0</v>
      </c>
      <c r="N29" s="307">
        <f t="shared" si="1"/>
        <v>0</v>
      </c>
      <c r="O29" s="300">
        <f t="shared" si="2"/>
        <v>0</v>
      </c>
      <c r="P29" s="300">
        <f t="shared" si="3"/>
        <v>0</v>
      </c>
      <c r="Q29" s="300">
        <f t="shared" si="6"/>
        <v>0</v>
      </c>
      <c r="R29" s="925"/>
      <c r="S29" s="303">
        <f>+'MEMORIAS DE CANTIDADES'!L119</f>
        <v>370</v>
      </c>
      <c r="T29" s="304">
        <f t="shared" si="7"/>
        <v>9397</v>
      </c>
      <c r="U29" s="501">
        <f t="shared" si="5"/>
        <v>3476890</v>
      </c>
      <c r="V29" s="148"/>
    </row>
    <row r="30" spans="2:22" ht="30" customHeight="1">
      <c r="B30" s="80"/>
      <c r="C30" s="435" t="s">
        <v>861</v>
      </c>
      <c r="D30" s="423"/>
      <c r="E30" s="423"/>
      <c r="F30" s="423"/>
      <c r="G30" s="432" t="s">
        <v>33</v>
      </c>
      <c r="H30" s="423" t="s">
        <v>34</v>
      </c>
      <c r="I30" s="199">
        <v>100</v>
      </c>
      <c r="J30" s="428">
        <v>2461</v>
      </c>
      <c r="K30" s="428">
        <f t="shared" si="0"/>
        <v>246100</v>
      </c>
      <c r="L30" s="876"/>
      <c r="M30" s="307">
        <f t="shared" si="4"/>
        <v>0</v>
      </c>
      <c r="N30" s="307">
        <f t="shared" si="1"/>
        <v>0</v>
      </c>
      <c r="O30" s="300">
        <f t="shared" si="2"/>
        <v>0</v>
      </c>
      <c r="P30" s="300">
        <f t="shared" si="3"/>
        <v>0</v>
      </c>
      <c r="Q30" s="300">
        <f t="shared" si="6"/>
        <v>0</v>
      </c>
      <c r="R30" s="925"/>
      <c r="S30" s="303">
        <f>+'MEMORIAS DE CANTIDADES'!L131</f>
        <v>100</v>
      </c>
      <c r="T30" s="304">
        <f t="shared" si="7"/>
        <v>2461</v>
      </c>
      <c r="U30" s="501">
        <f t="shared" si="5"/>
        <v>246100</v>
      </c>
      <c r="V30" s="148"/>
    </row>
    <row r="31" spans="2:22" ht="30" customHeight="1">
      <c r="B31" s="80"/>
      <c r="C31" s="436">
        <v>1.1100000000000001</v>
      </c>
      <c r="D31" s="423"/>
      <c r="E31" s="423"/>
      <c r="F31" s="423"/>
      <c r="G31" s="432" t="s">
        <v>35</v>
      </c>
      <c r="H31" s="423" t="s">
        <v>21</v>
      </c>
      <c r="I31" s="199">
        <v>580</v>
      </c>
      <c r="J31" s="428">
        <v>15381</v>
      </c>
      <c r="K31" s="428">
        <f t="shared" si="0"/>
        <v>8920980</v>
      </c>
      <c r="L31" s="876"/>
      <c r="M31" s="502">
        <f t="shared" si="4"/>
        <v>508</v>
      </c>
      <c r="N31" s="502">
        <f t="shared" si="1"/>
        <v>0</v>
      </c>
      <c r="O31" s="300">
        <f t="shared" si="2"/>
        <v>7813548</v>
      </c>
      <c r="P31" s="300">
        <f t="shared" si="3"/>
        <v>0</v>
      </c>
      <c r="Q31" s="300">
        <f t="shared" si="6"/>
        <v>7813548</v>
      </c>
      <c r="R31" s="925"/>
      <c r="S31" s="303">
        <f>+'MEMORIAS DE CANTIDADES'!L143</f>
        <v>1088</v>
      </c>
      <c r="T31" s="304">
        <f t="shared" si="7"/>
        <v>15381</v>
      </c>
      <c r="U31" s="501">
        <f t="shared" si="5"/>
        <v>16734528</v>
      </c>
      <c r="V31" s="148"/>
    </row>
    <row r="32" spans="2:22" ht="30" customHeight="1" thickBot="1">
      <c r="B32" s="80"/>
      <c r="C32" s="259" t="s">
        <v>8</v>
      </c>
      <c r="D32" s="590"/>
      <c r="E32" s="590"/>
      <c r="F32" s="590"/>
      <c r="G32" s="591"/>
      <c r="H32" s="590"/>
      <c r="I32" s="87"/>
      <c r="J32" s="88"/>
      <c r="K32" s="306">
        <f>SUM(K21:K31)</f>
        <v>249487654.75</v>
      </c>
      <c r="L32" s="876"/>
      <c r="M32" s="503"/>
      <c r="N32" s="319"/>
      <c r="O32" s="142">
        <f t="shared" ref="O32:P32" si="8">SUM(O21:O31)</f>
        <v>118508625.09</v>
      </c>
      <c r="P32" s="142">
        <f t="shared" si="8"/>
        <v>28168980</v>
      </c>
      <c r="Q32" s="306">
        <f>SUM(Q21:Q31)</f>
        <v>90339645.090000004</v>
      </c>
      <c r="R32" s="925"/>
      <c r="S32" s="305"/>
      <c r="T32" s="305"/>
      <c r="U32" s="504">
        <f>SUM(U21:U31)</f>
        <v>339827299.83999997</v>
      </c>
      <c r="V32" s="284"/>
    </row>
    <row r="33" spans="2:22" ht="30" customHeight="1" thickBot="1">
      <c r="B33" s="80"/>
      <c r="C33" s="886" t="s">
        <v>36</v>
      </c>
      <c r="D33" s="887"/>
      <c r="E33" s="887"/>
      <c r="F33" s="887"/>
      <c r="G33" s="887"/>
      <c r="H33" s="887"/>
      <c r="I33" s="889"/>
      <c r="J33" s="889"/>
      <c r="K33" s="889"/>
      <c r="L33" s="920"/>
      <c r="M33" s="888"/>
      <c r="N33" s="888"/>
      <c r="O33" s="888"/>
      <c r="P33" s="888"/>
      <c r="Q33" s="889"/>
      <c r="R33" s="589"/>
      <c r="S33" s="589"/>
      <c r="T33" s="589"/>
      <c r="U33" s="500"/>
      <c r="V33" s="148"/>
    </row>
    <row r="34" spans="2:22" ht="30" customHeight="1">
      <c r="B34" s="80"/>
      <c r="C34" s="429">
        <v>2.1</v>
      </c>
      <c r="D34" s="430"/>
      <c r="E34" s="430"/>
      <c r="F34" s="430"/>
      <c r="G34" s="431" t="s">
        <v>37</v>
      </c>
      <c r="H34" s="430" t="s">
        <v>38</v>
      </c>
      <c r="I34" s="199">
        <v>148277.64004399997</v>
      </c>
      <c r="J34" s="428">
        <v>10670</v>
      </c>
      <c r="K34" s="428">
        <f>I34*J34</f>
        <v>1582122419.2694798</v>
      </c>
      <c r="L34" s="316"/>
      <c r="M34" s="307">
        <f t="shared" ref="M34:M39" si="9">+IF(I34&lt;S34,S34-I34,0)</f>
        <v>1415.4064582857245</v>
      </c>
      <c r="N34" s="307">
        <f>+IF(I34&gt;S34,-S34+I34,0)</f>
        <v>0</v>
      </c>
      <c r="O34" s="300">
        <f>+M34*J34</f>
        <v>15102386.90990868</v>
      </c>
      <c r="P34" s="300">
        <f>+N34*J34</f>
        <v>0</v>
      </c>
      <c r="Q34" s="300">
        <f t="shared" ref="Q34:Q38" si="10">+O34-P34</f>
        <v>15102386.90990868</v>
      </c>
      <c r="R34" s="244"/>
      <c r="S34" s="303">
        <f>+'MEMORIAS DE CANTIDADES'!L156</f>
        <v>149693.0465022857</v>
      </c>
      <c r="T34" s="304">
        <f>+J34</f>
        <v>10670</v>
      </c>
      <c r="U34" s="501">
        <f t="shared" ref="U34" si="11">+S34*T34</f>
        <v>1597224806.1793883</v>
      </c>
      <c r="V34" s="403"/>
    </row>
    <row r="35" spans="2:22" ht="48" customHeight="1">
      <c r="B35" s="80"/>
      <c r="C35" s="429">
        <v>2.2000000000000002</v>
      </c>
      <c r="D35" s="423"/>
      <c r="E35" s="423"/>
      <c r="F35" s="423"/>
      <c r="G35" s="432" t="s">
        <v>39</v>
      </c>
      <c r="H35" s="423" t="s">
        <v>38</v>
      </c>
      <c r="I35" s="199">
        <v>93984.464999999997</v>
      </c>
      <c r="J35" s="428">
        <v>17175</v>
      </c>
      <c r="K35" s="428">
        <f>I35*J35</f>
        <v>1614183186.375</v>
      </c>
      <c r="L35" s="505"/>
      <c r="M35" s="307">
        <f t="shared" si="9"/>
        <v>0</v>
      </c>
      <c r="N35" s="307">
        <f>+IF(I35&gt;S35,-S35+I35,0)</f>
        <v>10358.653666666694</v>
      </c>
      <c r="O35" s="300">
        <f>+M35*J35</f>
        <v>0</v>
      </c>
      <c r="P35" s="300">
        <f>+N35*J35</f>
        <v>177909876.72500047</v>
      </c>
      <c r="Q35" s="300">
        <f t="shared" si="10"/>
        <v>-177909876.72500047</v>
      </c>
      <c r="R35" s="244"/>
      <c r="S35" s="303">
        <f>+'MEMORIAS DE CANTIDADES'!L415</f>
        <v>83625.811333333302</v>
      </c>
      <c r="T35" s="304">
        <f>+J35</f>
        <v>17175</v>
      </c>
      <c r="U35" s="501">
        <f t="shared" ref="U35:U38" si="12">+S35*T35</f>
        <v>1436273309.6499994</v>
      </c>
      <c r="V35" s="403"/>
    </row>
    <row r="36" spans="2:22" ht="51.6" customHeight="1">
      <c r="B36" s="80"/>
      <c r="C36" s="429">
        <v>2.2999999999999998</v>
      </c>
      <c r="D36" s="421"/>
      <c r="E36" s="421"/>
      <c r="F36" s="421"/>
      <c r="G36" s="420" t="s">
        <v>40</v>
      </c>
      <c r="H36" s="421" t="s">
        <v>38</v>
      </c>
      <c r="I36" s="199">
        <v>71559.33875000001</v>
      </c>
      <c r="J36" s="428">
        <v>18662</v>
      </c>
      <c r="K36" s="428">
        <f>I36*J36</f>
        <v>1335440379.7525003</v>
      </c>
      <c r="L36" s="505"/>
      <c r="M36" s="307">
        <f t="shared" si="9"/>
        <v>0</v>
      </c>
      <c r="N36" s="307">
        <f>+IF(I36&gt;S36,-S36+I36,0)</f>
        <v>71559.33875000001</v>
      </c>
      <c r="O36" s="300">
        <f>+M36*J36</f>
        <v>0</v>
      </c>
      <c r="P36" s="300">
        <f>+N36*J36</f>
        <v>1335440379.7525003</v>
      </c>
      <c r="Q36" s="300">
        <f t="shared" si="10"/>
        <v>-1335440379.7525003</v>
      </c>
      <c r="R36" s="244"/>
      <c r="S36" s="303">
        <f>+'MEMORIAS DE CANTIDADES'!L461</f>
        <v>0</v>
      </c>
      <c r="T36" s="304">
        <f>+J36</f>
        <v>18662</v>
      </c>
      <c r="U36" s="501">
        <f>+S36*T36</f>
        <v>0</v>
      </c>
      <c r="V36" s="403"/>
    </row>
    <row r="37" spans="2:22" ht="30" customHeight="1">
      <c r="B37" s="80"/>
      <c r="C37" s="429">
        <v>2.4</v>
      </c>
      <c r="D37" s="421"/>
      <c r="E37" s="421"/>
      <c r="F37" s="421"/>
      <c r="G37" s="420" t="s">
        <v>41</v>
      </c>
      <c r="H37" s="421" t="s">
        <v>38</v>
      </c>
      <c r="I37" s="199">
        <v>1000</v>
      </c>
      <c r="J37" s="428">
        <v>17175</v>
      </c>
      <c r="K37" s="428">
        <f>I37*J37</f>
        <v>17175000</v>
      </c>
      <c r="L37" s="505"/>
      <c r="M37" s="307">
        <f t="shared" si="9"/>
        <v>0</v>
      </c>
      <c r="N37" s="307">
        <f>+IF(I37&gt;S37,-S37+I37,0)</f>
        <v>1000</v>
      </c>
      <c r="O37" s="300">
        <f>+M37*J37</f>
        <v>0</v>
      </c>
      <c r="P37" s="300">
        <f>+N37*J37</f>
        <v>17175000</v>
      </c>
      <c r="Q37" s="300">
        <f t="shared" si="10"/>
        <v>-17175000</v>
      </c>
      <c r="R37" s="244"/>
      <c r="S37" s="303">
        <v>0</v>
      </c>
      <c r="T37" s="304">
        <f>+J37</f>
        <v>17175</v>
      </c>
      <c r="U37" s="501">
        <f t="shared" si="12"/>
        <v>0</v>
      </c>
      <c r="V37" s="148"/>
    </row>
    <row r="38" spans="2:22" ht="30" customHeight="1">
      <c r="B38" s="80"/>
      <c r="C38" s="429">
        <v>2.5</v>
      </c>
      <c r="D38" s="423"/>
      <c r="E38" s="423"/>
      <c r="F38" s="423"/>
      <c r="G38" s="433" t="s">
        <v>42</v>
      </c>
      <c r="H38" s="423" t="s">
        <v>38</v>
      </c>
      <c r="I38" s="199">
        <v>5609.0999999999995</v>
      </c>
      <c r="J38" s="428">
        <v>10670</v>
      </c>
      <c r="K38" s="428">
        <f>I38*J38</f>
        <v>59849096.999999993</v>
      </c>
      <c r="L38" s="317"/>
      <c r="M38" s="307">
        <f t="shared" si="9"/>
        <v>0</v>
      </c>
      <c r="N38" s="307">
        <f>+IF(I38&gt;S38,-S38+I38,0)</f>
        <v>0</v>
      </c>
      <c r="O38" s="300">
        <f>+M38*J38</f>
        <v>0</v>
      </c>
      <c r="P38" s="300">
        <f>+N38*J38</f>
        <v>0</v>
      </c>
      <c r="Q38" s="300">
        <f t="shared" si="10"/>
        <v>0</v>
      </c>
      <c r="R38" s="244"/>
      <c r="S38" s="303">
        <f>+'MEMORIAS DE CANTIDADES'!L489</f>
        <v>5609.0999999999995</v>
      </c>
      <c r="T38" s="304">
        <f>+J38</f>
        <v>10670</v>
      </c>
      <c r="U38" s="501">
        <f t="shared" si="12"/>
        <v>59849096.999999993</v>
      </c>
      <c r="V38" s="148"/>
    </row>
    <row r="39" spans="2:22" ht="30" customHeight="1" thickBot="1">
      <c r="B39" s="80"/>
      <c r="C39" s="259" t="s">
        <v>8</v>
      </c>
      <c r="I39" s="87"/>
      <c r="J39" s="144"/>
      <c r="K39" s="306">
        <f>SUM(K34:K38)</f>
        <v>4608770082.3969803</v>
      </c>
      <c r="L39" s="289"/>
      <c r="M39" s="307">
        <f t="shared" si="9"/>
        <v>0</v>
      </c>
      <c r="N39" s="307"/>
      <c r="O39" s="308">
        <f t="shared" ref="O39" si="13">SUM(O34:O38)</f>
        <v>15102386.90990868</v>
      </c>
      <c r="P39" s="308">
        <f>SUM(P34:P38)</f>
        <v>1530525256.4775007</v>
      </c>
      <c r="Q39" s="308">
        <f>SUM(Q34:Q38)</f>
        <v>-1515422869.5675921</v>
      </c>
      <c r="R39" s="244"/>
      <c r="S39" s="309"/>
      <c r="T39" s="309"/>
      <c r="U39" s="506">
        <f>SUM(U34:U38)</f>
        <v>3093347212.8293877</v>
      </c>
      <c r="V39" s="285"/>
    </row>
    <row r="40" spans="2:22" ht="30" customHeight="1" thickBot="1">
      <c r="B40" s="80"/>
      <c r="C40" s="886" t="s">
        <v>43</v>
      </c>
      <c r="D40" s="887"/>
      <c r="E40" s="887"/>
      <c r="F40" s="887"/>
      <c r="G40" s="887"/>
      <c r="H40" s="887"/>
      <c r="I40" s="920"/>
      <c r="J40" s="920"/>
      <c r="K40" s="889"/>
      <c r="L40" s="888"/>
      <c r="M40" s="920"/>
      <c r="N40" s="920"/>
      <c r="O40" s="920"/>
      <c r="P40" s="920"/>
      <c r="Q40" s="920"/>
      <c r="R40" s="589"/>
      <c r="S40" s="589"/>
      <c r="T40" s="589"/>
      <c r="U40" s="500"/>
      <c r="V40" s="148"/>
    </row>
    <row r="41" spans="2:22" ht="30" customHeight="1">
      <c r="B41" s="80"/>
      <c r="C41" s="429">
        <v>3.1</v>
      </c>
      <c r="D41" s="424"/>
      <c r="E41" s="424"/>
      <c r="F41" s="424"/>
      <c r="G41" s="419" t="s">
        <v>44</v>
      </c>
      <c r="H41" s="424" t="s">
        <v>25</v>
      </c>
      <c r="I41" s="255">
        <v>2513.8578000000002</v>
      </c>
      <c r="J41" s="425">
        <v>83705</v>
      </c>
      <c r="K41" s="428">
        <f t="shared" ref="K41:K51" si="14">I41*J41</f>
        <v>210422467.14900002</v>
      </c>
      <c r="L41" s="876"/>
      <c r="M41" s="307">
        <f t="shared" ref="M41:M51" si="15">+IF(I41&lt;S41,S41-I41,0)</f>
        <v>2934.0370700000008</v>
      </c>
      <c r="N41" s="307">
        <f t="shared" ref="N41:N51" si="16">+IF(I41&gt;S41,-S41+I41,0)</f>
        <v>0</v>
      </c>
      <c r="O41" s="313">
        <f t="shared" ref="O41:O51" si="17">+M41*J41</f>
        <v>245593572.94435006</v>
      </c>
      <c r="P41" s="313">
        <f t="shared" ref="P41:P51" si="18">+N41*J41</f>
        <v>0</v>
      </c>
      <c r="Q41" s="313">
        <f t="shared" ref="Q41" si="19">+O41-P41</f>
        <v>245593572.94435006</v>
      </c>
      <c r="R41" s="295"/>
      <c r="S41" s="303">
        <f>+'MEMORIAS DE CANTIDADES'!L504</f>
        <v>5447.894870000001</v>
      </c>
      <c r="T41" s="304">
        <f t="shared" ref="T41:T51" si="20">+J41</f>
        <v>83705</v>
      </c>
      <c r="U41" s="501">
        <f>+S41*T41</f>
        <v>456016040.09335011</v>
      </c>
      <c r="V41" s="284"/>
    </row>
    <row r="42" spans="2:22" ht="30" customHeight="1">
      <c r="B42" s="80"/>
      <c r="C42" s="429">
        <v>3.2</v>
      </c>
      <c r="D42" s="427"/>
      <c r="E42" s="427"/>
      <c r="F42" s="427"/>
      <c r="G42" s="198" t="s">
        <v>45</v>
      </c>
      <c r="H42" s="422" t="s">
        <v>25</v>
      </c>
      <c r="I42" s="199">
        <v>230.0865</v>
      </c>
      <c r="J42" s="428">
        <v>463039</v>
      </c>
      <c r="K42" s="428">
        <f t="shared" si="14"/>
        <v>106539022.8735</v>
      </c>
      <c r="L42" s="876"/>
      <c r="M42" s="307">
        <f t="shared" si="15"/>
        <v>575.44600000000003</v>
      </c>
      <c r="N42" s="307">
        <f t="shared" si="16"/>
        <v>0</v>
      </c>
      <c r="O42" s="313">
        <f t="shared" si="17"/>
        <v>266453940.39400002</v>
      </c>
      <c r="P42" s="313">
        <f t="shared" si="18"/>
        <v>0</v>
      </c>
      <c r="Q42" s="313">
        <f t="shared" ref="Q42:Q51" si="21">+O42-P42</f>
        <v>266453940.39400002</v>
      </c>
      <c r="R42" s="295"/>
      <c r="S42" s="303">
        <f>+'MEMORIAS DE CANTIDADES'!L587</f>
        <v>805.53250000000003</v>
      </c>
      <c r="T42" s="304">
        <f t="shared" si="20"/>
        <v>463039</v>
      </c>
      <c r="U42" s="501">
        <f t="shared" ref="U42:U51" si="22">+S42*T42</f>
        <v>372992963.26749998</v>
      </c>
      <c r="V42" s="148"/>
    </row>
    <row r="43" spans="2:22" ht="30" customHeight="1">
      <c r="B43" s="80"/>
      <c r="C43" s="429">
        <v>3.3</v>
      </c>
      <c r="D43" s="422"/>
      <c r="E43" s="422"/>
      <c r="F43" s="422"/>
      <c r="G43" s="198" t="s">
        <v>46</v>
      </c>
      <c r="H43" s="422" t="s">
        <v>21</v>
      </c>
      <c r="I43" s="199">
        <v>663.26350000000002</v>
      </c>
      <c r="J43" s="428">
        <v>41144</v>
      </c>
      <c r="K43" s="428">
        <f t="shared" si="14"/>
        <v>27289313.444000002</v>
      </c>
      <c r="L43" s="876"/>
      <c r="M43" s="307">
        <f t="shared" si="15"/>
        <v>0</v>
      </c>
      <c r="N43" s="307">
        <f t="shared" si="16"/>
        <v>200.9679999999999</v>
      </c>
      <c r="O43" s="313">
        <f t="shared" si="17"/>
        <v>0</v>
      </c>
      <c r="P43" s="313">
        <f t="shared" si="18"/>
        <v>8268627.3919999963</v>
      </c>
      <c r="Q43" s="313">
        <f t="shared" si="21"/>
        <v>-8268627.3919999963</v>
      </c>
      <c r="R43" s="295"/>
      <c r="S43" s="303">
        <f>+'MEMORIAS DE CANTIDADES'!L625</f>
        <v>462.29550000000012</v>
      </c>
      <c r="T43" s="304">
        <f t="shared" si="20"/>
        <v>41144</v>
      </c>
      <c r="U43" s="501">
        <f t="shared" si="22"/>
        <v>19020686.052000005</v>
      </c>
      <c r="V43" s="148"/>
    </row>
    <row r="44" spans="2:22" ht="30" customHeight="1">
      <c r="B44" s="80"/>
      <c r="C44" s="84">
        <v>3.4</v>
      </c>
      <c r="D44" s="95"/>
      <c r="E44" s="95"/>
      <c r="F44" s="95"/>
      <c r="G44" s="100" t="s">
        <v>47</v>
      </c>
      <c r="H44" s="95" t="s">
        <v>25</v>
      </c>
      <c r="I44" s="87">
        <v>134.29910000000007</v>
      </c>
      <c r="J44" s="88">
        <v>108681</v>
      </c>
      <c r="K44" s="88">
        <f t="shared" si="14"/>
        <v>14595760.487100007</v>
      </c>
      <c r="L44" s="876"/>
      <c r="M44" s="307">
        <f t="shared" si="15"/>
        <v>1883.6725699999993</v>
      </c>
      <c r="N44" s="307">
        <f t="shared" si="16"/>
        <v>0</v>
      </c>
      <c r="O44" s="313">
        <f t="shared" si="17"/>
        <v>204719418.58016992</v>
      </c>
      <c r="P44" s="313">
        <f t="shared" si="18"/>
        <v>0</v>
      </c>
      <c r="Q44" s="313">
        <f t="shared" si="21"/>
        <v>204719418.58016992</v>
      </c>
      <c r="R44" s="295"/>
      <c r="S44" s="303">
        <f>+'MEMORIAS DE CANTIDADES'!L686</f>
        <v>2017.9716699999994</v>
      </c>
      <c r="T44" s="304">
        <f t="shared" si="20"/>
        <v>108681</v>
      </c>
      <c r="U44" s="501">
        <f t="shared" si="22"/>
        <v>219315179.06726995</v>
      </c>
      <c r="V44" s="148"/>
    </row>
    <row r="45" spans="2:22" ht="30" customHeight="1">
      <c r="B45" s="80"/>
      <c r="C45" s="84">
        <v>3.5</v>
      </c>
      <c r="D45" s="97"/>
      <c r="E45" s="97"/>
      <c r="F45" s="97"/>
      <c r="G45" s="98" t="s">
        <v>48</v>
      </c>
      <c r="H45" s="97" t="s">
        <v>25</v>
      </c>
      <c r="I45" s="87">
        <v>680.69220000000018</v>
      </c>
      <c r="J45" s="101">
        <v>1082757</v>
      </c>
      <c r="K45" s="88">
        <f t="shared" si="14"/>
        <v>737024244.39540017</v>
      </c>
      <c r="L45" s="876"/>
      <c r="M45" s="307">
        <f t="shared" si="15"/>
        <v>0</v>
      </c>
      <c r="N45" s="307">
        <f t="shared" si="16"/>
        <v>680.69220000000018</v>
      </c>
      <c r="O45" s="313">
        <f t="shared" si="17"/>
        <v>0</v>
      </c>
      <c r="P45" s="313">
        <f t="shared" si="18"/>
        <v>737024244.39540017</v>
      </c>
      <c r="Q45" s="313">
        <f t="shared" si="21"/>
        <v>-737024244.39540017</v>
      </c>
      <c r="R45" s="295"/>
      <c r="S45" s="303">
        <v>0</v>
      </c>
      <c r="T45" s="304">
        <f t="shared" si="20"/>
        <v>1082757</v>
      </c>
      <c r="U45" s="501">
        <f t="shared" si="22"/>
        <v>0</v>
      </c>
      <c r="V45" s="148"/>
    </row>
    <row r="46" spans="2:22" ht="30" customHeight="1">
      <c r="B46" s="80"/>
      <c r="C46" s="84">
        <v>3.6</v>
      </c>
      <c r="D46" s="95"/>
      <c r="E46" s="95"/>
      <c r="F46" s="95"/>
      <c r="G46" s="100" t="s">
        <v>49</v>
      </c>
      <c r="H46" s="95" t="s">
        <v>25</v>
      </c>
      <c r="I46" s="87">
        <v>291.68899999999991</v>
      </c>
      <c r="J46" s="101">
        <v>1547998</v>
      </c>
      <c r="K46" s="88">
        <f t="shared" si="14"/>
        <v>451533988.62199986</v>
      </c>
      <c r="L46" s="876"/>
      <c r="M46" s="307">
        <f t="shared" si="15"/>
        <v>0</v>
      </c>
      <c r="N46" s="307">
        <f t="shared" si="16"/>
        <v>114.97749999999994</v>
      </c>
      <c r="O46" s="313">
        <f t="shared" si="17"/>
        <v>0</v>
      </c>
      <c r="P46" s="313">
        <f t="shared" si="18"/>
        <v>177984940.0449999</v>
      </c>
      <c r="Q46" s="313">
        <f t="shared" si="21"/>
        <v>-177984940.0449999</v>
      </c>
      <c r="R46" s="295"/>
      <c r="S46" s="303">
        <f>+'MEMORIAS DE CANTIDADES'!L842</f>
        <v>176.71149999999997</v>
      </c>
      <c r="T46" s="304">
        <f t="shared" si="20"/>
        <v>1547998</v>
      </c>
      <c r="U46" s="501">
        <f t="shared" si="22"/>
        <v>273549048.57699996</v>
      </c>
      <c r="V46" s="148"/>
    </row>
    <row r="47" spans="2:22" ht="30" customHeight="1">
      <c r="B47" s="80"/>
      <c r="C47" s="84">
        <v>3.7</v>
      </c>
      <c r="D47" s="97"/>
      <c r="E47" s="85"/>
      <c r="F47" s="97"/>
      <c r="G47" s="98" t="s">
        <v>50</v>
      </c>
      <c r="H47" s="97" t="s">
        <v>25</v>
      </c>
      <c r="I47" s="87">
        <v>613.77074999999979</v>
      </c>
      <c r="J47" s="88">
        <v>1429563</v>
      </c>
      <c r="K47" s="88">
        <f t="shared" si="14"/>
        <v>877423954.68224967</v>
      </c>
      <c r="L47" s="876"/>
      <c r="M47" s="307">
        <f t="shared" si="15"/>
        <v>0</v>
      </c>
      <c r="N47" s="307">
        <f t="shared" si="16"/>
        <v>225.34437999999983</v>
      </c>
      <c r="O47" s="313">
        <f t="shared" si="17"/>
        <v>0</v>
      </c>
      <c r="P47" s="313">
        <f t="shared" si="18"/>
        <v>322143987.90593976</v>
      </c>
      <c r="Q47" s="313">
        <f t="shared" si="21"/>
        <v>-322143987.90593976</v>
      </c>
      <c r="R47" s="295"/>
      <c r="S47" s="303">
        <f>+'MEMORIAS DE CANTIDADES'!L874</f>
        <v>388.42636999999996</v>
      </c>
      <c r="T47" s="304">
        <f t="shared" si="20"/>
        <v>1429563</v>
      </c>
      <c r="U47" s="501">
        <f t="shared" si="22"/>
        <v>555279966.77630997</v>
      </c>
      <c r="V47" s="148"/>
    </row>
    <row r="48" spans="2:22" ht="30" customHeight="1">
      <c r="B48" s="80"/>
      <c r="C48" s="84">
        <v>3.8</v>
      </c>
      <c r="D48" s="97"/>
      <c r="E48" s="85"/>
      <c r="F48" s="97"/>
      <c r="G48" s="98" t="s">
        <v>51</v>
      </c>
      <c r="H48" s="97" t="s">
        <v>52</v>
      </c>
      <c r="I48" s="87">
        <v>698.01599999999996</v>
      </c>
      <c r="J48" s="88">
        <v>364929</v>
      </c>
      <c r="K48" s="88">
        <f t="shared" si="14"/>
        <v>254726280.86399999</v>
      </c>
      <c r="L48" s="876"/>
      <c r="M48" s="307">
        <f t="shared" si="15"/>
        <v>63</v>
      </c>
      <c r="N48" s="307">
        <f t="shared" si="16"/>
        <v>0</v>
      </c>
      <c r="O48" s="313">
        <f t="shared" si="17"/>
        <v>22990527</v>
      </c>
      <c r="P48" s="313">
        <f t="shared" si="18"/>
        <v>0</v>
      </c>
      <c r="Q48" s="313">
        <f t="shared" si="21"/>
        <v>22990527</v>
      </c>
      <c r="R48" s="295"/>
      <c r="S48" s="303">
        <f>+'MEMORIAS DE CANTIDADES'!L932</f>
        <v>761.01599999999996</v>
      </c>
      <c r="T48" s="304">
        <f t="shared" si="20"/>
        <v>364929</v>
      </c>
      <c r="U48" s="501">
        <f t="shared" si="22"/>
        <v>277716807.86399996</v>
      </c>
      <c r="V48" s="148"/>
    </row>
    <row r="49" spans="2:22" ht="30" customHeight="1">
      <c r="B49" s="80"/>
      <c r="C49" s="84">
        <v>3.9</v>
      </c>
      <c r="D49" s="97"/>
      <c r="E49" s="85"/>
      <c r="F49" s="97"/>
      <c r="G49" s="98" t="s">
        <v>53</v>
      </c>
      <c r="H49" s="97" t="s">
        <v>52</v>
      </c>
      <c r="I49" s="87">
        <v>890.81200000000013</v>
      </c>
      <c r="J49" s="88">
        <v>184699</v>
      </c>
      <c r="K49" s="88">
        <f t="shared" si="14"/>
        <v>164532085.58800003</v>
      </c>
      <c r="L49" s="876"/>
      <c r="M49" s="307">
        <f t="shared" si="15"/>
        <v>0</v>
      </c>
      <c r="N49" s="307">
        <f t="shared" si="16"/>
        <v>774.56400000000008</v>
      </c>
      <c r="O49" s="313">
        <f t="shared" si="17"/>
        <v>0</v>
      </c>
      <c r="P49" s="313">
        <f t="shared" si="18"/>
        <v>143061196.236</v>
      </c>
      <c r="Q49" s="313">
        <f t="shared" si="21"/>
        <v>-143061196.236</v>
      </c>
      <c r="R49" s="295"/>
      <c r="S49" s="303">
        <f>+'MEMORIAS DE CANTIDADES'!L948</f>
        <v>116.24800000000002</v>
      </c>
      <c r="T49" s="304">
        <f t="shared" si="20"/>
        <v>184699</v>
      </c>
      <c r="U49" s="501">
        <f t="shared" si="22"/>
        <v>21470889.352000002</v>
      </c>
      <c r="V49" s="148"/>
    </row>
    <row r="50" spans="2:22" ht="30" customHeight="1">
      <c r="B50" s="80"/>
      <c r="C50" s="143" t="s">
        <v>583</v>
      </c>
      <c r="D50" s="97"/>
      <c r="E50" s="85"/>
      <c r="F50" s="97"/>
      <c r="G50" s="98" t="s">
        <v>54</v>
      </c>
      <c r="H50" s="97" t="s">
        <v>52</v>
      </c>
      <c r="I50" s="87">
        <v>1167.0736000000002</v>
      </c>
      <c r="J50" s="88">
        <v>364929</v>
      </c>
      <c r="K50" s="88">
        <f t="shared" si="14"/>
        <v>425899001.77440006</v>
      </c>
      <c r="L50" s="876"/>
      <c r="M50" s="307">
        <f t="shared" si="15"/>
        <v>0</v>
      </c>
      <c r="N50" s="307">
        <f t="shared" si="16"/>
        <v>49.680000000000064</v>
      </c>
      <c r="O50" s="313">
        <f t="shared" si="17"/>
        <v>0</v>
      </c>
      <c r="P50" s="313">
        <f t="shared" si="18"/>
        <v>18129672.720000025</v>
      </c>
      <c r="Q50" s="313">
        <f t="shared" si="21"/>
        <v>-18129672.720000025</v>
      </c>
      <c r="R50" s="295"/>
      <c r="S50" s="303">
        <f>+'MEMORIAS DE CANTIDADES'!L961</f>
        <v>1117.3936000000001</v>
      </c>
      <c r="T50" s="304">
        <f t="shared" si="20"/>
        <v>364929</v>
      </c>
      <c r="U50" s="501">
        <f t="shared" si="22"/>
        <v>407769329.05440003</v>
      </c>
      <c r="V50" s="148"/>
    </row>
    <row r="51" spans="2:22" ht="30" customHeight="1">
      <c r="B51" s="80"/>
      <c r="C51" s="90">
        <v>3.11</v>
      </c>
      <c r="D51" s="97"/>
      <c r="E51" s="97"/>
      <c r="F51" s="97"/>
      <c r="G51" s="98" t="s">
        <v>55</v>
      </c>
      <c r="H51" s="102" t="s">
        <v>25</v>
      </c>
      <c r="I51" s="87">
        <v>52.597999999999999</v>
      </c>
      <c r="J51" s="88">
        <v>1547998</v>
      </c>
      <c r="K51" s="88">
        <f t="shared" si="14"/>
        <v>81421598.804000005</v>
      </c>
      <c r="L51" s="876"/>
      <c r="M51" s="307">
        <f t="shared" si="15"/>
        <v>26</v>
      </c>
      <c r="N51" s="307">
        <f t="shared" si="16"/>
        <v>0</v>
      </c>
      <c r="O51" s="313">
        <f t="shared" si="17"/>
        <v>40247948</v>
      </c>
      <c r="P51" s="313">
        <f t="shared" si="18"/>
        <v>0</v>
      </c>
      <c r="Q51" s="313">
        <f t="shared" si="21"/>
        <v>40247948</v>
      </c>
      <c r="R51" s="295"/>
      <c r="S51" s="303">
        <f>+'MEMORIAS DE CANTIDADES'!L979</f>
        <v>78.597999999999999</v>
      </c>
      <c r="T51" s="304">
        <f t="shared" si="20"/>
        <v>1547998</v>
      </c>
      <c r="U51" s="501">
        <f t="shared" si="22"/>
        <v>121669546.80400001</v>
      </c>
      <c r="V51" s="148"/>
    </row>
    <row r="52" spans="2:22" ht="30" customHeight="1" thickBot="1">
      <c r="B52" s="80"/>
      <c r="C52" s="103" t="s">
        <v>8</v>
      </c>
      <c r="D52" s="592"/>
      <c r="E52" s="592"/>
      <c r="F52" s="592"/>
      <c r="G52" s="593"/>
      <c r="H52" s="592"/>
      <c r="I52" s="507"/>
      <c r="J52" s="104"/>
      <c r="K52" s="306">
        <f>SUM(K41:K51)</f>
        <v>3351407718.6836495</v>
      </c>
      <c r="L52" s="876"/>
      <c r="M52" s="503"/>
      <c r="N52" s="319"/>
      <c r="O52" s="309">
        <f>SUM(O41:O51)</f>
        <v>780005406.91851997</v>
      </c>
      <c r="P52" s="309">
        <f>SUM(P41:P51)</f>
        <v>1406612668.69434</v>
      </c>
      <c r="Q52" s="309">
        <f>SUM(Q41:Q51)</f>
        <v>-626607261.77581978</v>
      </c>
      <c r="R52" s="295"/>
      <c r="S52" s="309"/>
      <c r="T52" s="309"/>
      <c r="U52" s="506">
        <f>SUM(U41:U51)</f>
        <v>2724800456.9078302</v>
      </c>
      <c r="V52" s="284"/>
    </row>
    <row r="53" spans="2:22" ht="30" customHeight="1" thickBot="1">
      <c r="B53" s="80"/>
      <c r="C53" s="886" t="s">
        <v>56</v>
      </c>
      <c r="D53" s="887"/>
      <c r="E53" s="887"/>
      <c r="F53" s="887"/>
      <c r="G53" s="887"/>
      <c r="H53" s="887"/>
      <c r="I53" s="887"/>
      <c r="J53" s="887"/>
      <c r="K53" s="920"/>
      <c r="L53" s="920"/>
      <c r="M53" s="887"/>
      <c r="N53" s="887"/>
      <c r="O53" s="920"/>
      <c r="P53" s="920"/>
      <c r="Q53" s="920"/>
      <c r="R53" s="589"/>
      <c r="S53" s="589"/>
      <c r="T53" s="589"/>
      <c r="U53" s="500"/>
      <c r="V53" s="148"/>
    </row>
    <row r="54" spans="2:22" ht="30" customHeight="1">
      <c r="B54" s="80"/>
      <c r="C54" s="429">
        <v>4.0999999999999996</v>
      </c>
      <c r="D54" s="424"/>
      <c r="E54" s="424"/>
      <c r="F54" s="424"/>
      <c r="G54" s="419" t="s">
        <v>57</v>
      </c>
      <c r="H54" s="424" t="s">
        <v>25</v>
      </c>
      <c r="I54" s="255">
        <v>4335.38</v>
      </c>
      <c r="J54" s="425">
        <v>58639</v>
      </c>
      <c r="K54" s="426">
        <f t="shared" ref="K54:K69" si="23">I54*J54</f>
        <v>254222347.81999999</v>
      </c>
      <c r="L54" s="877"/>
      <c r="M54" s="307">
        <f t="shared" ref="M54:M69" si="24">+IF(I54&lt;S54,S54-I54,0)</f>
        <v>1618.8760000000002</v>
      </c>
      <c r="N54" s="307">
        <f>+IF(I54&gt;S54,-S54+I54,0)</f>
        <v>0</v>
      </c>
      <c r="O54" s="313">
        <f t="shared" ref="O54:O69" si="25">+M54*J54</f>
        <v>94929269.764000013</v>
      </c>
      <c r="P54" s="313">
        <f t="shared" ref="P54:P69" si="26">+N54*J54</f>
        <v>0</v>
      </c>
      <c r="Q54" s="313">
        <f t="shared" ref="Q54" si="27">+O54-P54</f>
        <v>94929269.764000013</v>
      </c>
      <c r="R54" s="295"/>
      <c r="S54" s="303">
        <f>+'MEMORIAS DE CANTIDADES'!L992</f>
        <v>5954.2560000000003</v>
      </c>
      <c r="T54" s="304">
        <f t="shared" ref="T54:T69" si="28">+J54</f>
        <v>58639</v>
      </c>
      <c r="U54" s="501">
        <f t="shared" ref="U54" si="29">+S54*T54</f>
        <v>349151617.58399999</v>
      </c>
      <c r="V54" s="148"/>
    </row>
    <row r="55" spans="2:22" ht="30" customHeight="1">
      <c r="B55" s="80"/>
      <c r="C55" s="429">
        <v>4.2</v>
      </c>
      <c r="D55" s="427"/>
      <c r="E55" s="427"/>
      <c r="F55" s="427"/>
      <c r="G55" s="198" t="s">
        <v>58</v>
      </c>
      <c r="H55" s="422" t="s">
        <v>25</v>
      </c>
      <c r="I55" s="199">
        <v>676.33200000000011</v>
      </c>
      <c r="J55" s="428">
        <v>83705</v>
      </c>
      <c r="K55" s="426">
        <f t="shared" si="23"/>
        <v>56612370.06000001</v>
      </c>
      <c r="L55" s="878"/>
      <c r="M55" s="307">
        <f t="shared" si="24"/>
        <v>1526.4576000000004</v>
      </c>
      <c r="N55" s="307">
        <f t="shared" ref="N55:N69" si="30">+IF(I55&gt;S55,-S55+I55,0)</f>
        <v>0</v>
      </c>
      <c r="O55" s="313">
        <f t="shared" si="25"/>
        <v>127772133.40800004</v>
      </c>
      <c r="P55" s="313">
        <f t="shared" si="26"/>
        <v>0</v>
      </c>
      <c r="Q55" s="313">
        <f t="shared" ref="Q55:Q69" si="31">+O55-P55</f>
        <v>127772133.40800004</v>
      </c>
      <c r="R55" s="295"/>
      <c r="S55" s="303">
        <f>+'MEMORIAS DE CANTIDADES'!L1003</f>
        <v>2202.7896000000005</v>
      </c>
      <c r="T55" s="304">
        <f t="shared" si="28"/>
        <v>83705</v>
      </c>
      <c r="U55" s="501">
        <f t="shared" ref="U55:U69" si="32">+S55*T55</f>
        <v>184384503.46800005</v>
      </c>
      <c r="V55" s="148"/>
    </row>
    <row r="56" spans="2:22" ht="30" customHeight="1">
      <c r="B56" s="80"/>
      <c r="C56" s="429">
        <v>4.3</v>
      </c>
      <c r="D56" s="422"/>
      <c r="E56" s="422"/>
      <c r="F56" s="422"/>
      <c r="G56" s="198" t="s">
        <v>59</v>
      </c>
      <c r="H56" s="422" t="s">
        <v>21</v>
      </c>
      <c r="I56" s="199">
        <v>4122.58</v>
      </c>
      <c r="J56" s="428">
        <v>4360</v>
      </c>
      <c r="K56" s="426">
        <f t="shared" si="23"/>
        <v>17974448.800000001</v>
      </c>
      <c r="L56" s="878"/>
      <c r="M56" s="307">
        <f t="shared" si="24"/>
        <v>9473.82</v>
      </c>
      <c r="N56" s="307">
        <f t="shared" si="30"/>
        <v>0</v>
      </c>
      <c r="O56" s="313">
        <f t="shared" si="25"/>
        <v>41305855.199999996</v>
      </c>
      <c r="P56" s="313">
        <f t="shared" si="26"/>
        <v>0</v>
      </c>
      <c r="Q56" s="313">
        <f t="shared" si="31"/>
        <v>41305855.199999996</v>
      </c>
      <c r="R56" s="295"/>
      <c r="S56" s="303">
        <f>+'MEMORIAS DE CANTIDADES'!L1021</f>
        <v>13596.4</v>
      </c>
      <c r="T56" s="304">
        <f t="shared" si="28"/>
        <v>4360</v>
      </c>
      <c r="U56" s="501">
        <f t="shared" si="32"/>
        <v>59280304</v>
      </c>
      <c r="V56" s="148"/>
    </row>
    <row r="57" spans="2:22" ht="30" customHeight="1">
      <c r="B57" s="80"/>
      <c r="C57" s="429">
        <v>4.4000000000000004</v>
      </c>
      <c r="D57" s="421"/>
      <c r="E57" s="421"/>
      <c r="F57" s="421"/>
      <c r="G57" s="420" t="s">
        <v>60</v>
      </c>
      <c r="H57" s="421" t="s">
        <v>25</v>
      </c>
      <c r="I57" s="199">
        <v>2473.5479999999998</v>
      </c>
      <c r="J57" s="428">
        <v>84792</v>
      </c>
      <c r="K57" s="426">
        <f t="shared" si="23"/>
        <v>209737082.01599997</v>
      </c>
      <c r="L57" s="878"/>
      <c r="M57" s="307">
        <f t="shared" si="24"/>
        <v>6629.8435075481511</v>
      </c>
      <c r="N57" s="307">
        <f t="shared" si="30"/>
        <v>0</v>
      </c>
      <c r="O57" s="313">
        <f t="shared" si="25"/>
        <v>562157690.6920228</v>
      </c>
      <c r="P57" s="313">
        <f t="shared" si="26"/>
        <v>0</v>
      </c>
      <c r="Q57" s="313">
        <f t="shared" si="31"/>
        <v>562157690.6920228</v>
      </c>
      <c r="R57" s="295"/>
      <c r="S57" s="303">
        <v>9103.3915075481509</v>
      </c>
      <c r="T57" s="304">
        <f t="shared" si="28"/>
        <v>84792</v>
      </c>
      <c r="U57" s="501">
        <f t="shared" si="32"/>
        <v>771894772.70802283</v>
      </c>
      <c r="V57" s="148"/>
    </row>
    <row r="58" spans="2:22" ht="30" customHeight="1">
      <c r="B58" s="80"/>
      <c r="C58" s="84">
        <v>4.5</v>
      </c>
      <c r="D58" s="97"/>
      <c r="E58" s="97"/>
      <c r="F58" s="97"/>
      <c r="G58" s="98" t="s">
        <v>61</v>
      </c>
      <c r="H58" s="97" t="s">
        <v>52</v>
      </c>
      <c r="I58" s="87">
        <v>8987.224400000001</v>
      </c>
      <c r="J58" s="101">
        <v>21564</v>
      </c>
      <c r="K58" s="89">
        <f t="shared" si="23"/>
        <v>193800506.96160004</v>
      </c>
      <c r="L58" s="878"/>
      <c r="M58" s="307">
        <f t="shared" si="24"/>
        <v>4203.9756000000016</v>
      </c>
      <c r="N58" s="307">
        <f t="shared" si="30"/>
        <v>0</v>
      </c>
      <c r="O58" s="313">
        <f t="shared" si="25"/>
        <v>90654529.838400036</v>
      </c>
      <c r="P58" s="313">
        <f t="shared" si="26"/>
        <v>0</v>
      </c>
      <c r="Q58" s="313">
        <f t="shared" si="31"/>
        <v>90654529.838400036</v>
      </c>
      <c r="R58" s="295"/>
      <c r="S58" s="303">
        <f>+'MEMORIAS DE CANTIDADES'!L1046</f>
        <v>13191.200000000003</v>
      </c>
      <c r="T58" s="304">
        <f t="shared" si="28"/>
        <v>21564</v>
      </c>
      <c r="U58" s="501">
        <f t="shared" si="32"/>
        <v>284455036.80000007</v>
      </c>
      <c r="V58" s="148"/>
    </row>
    <row r="59" spans="2:22" ht="52.15" customHeight="1">
      <c r="B59" s="80"/>
      <c r="C59" s="84">
        <v>4.5999999999999996</v>
      </c>
      <c r="D59" s="95"/>
      <c r="E59" s="95"/>
      <c r="F59" s="95"/>
      <c r="G59" s="100" t="s">
        <v>62</v>
      </c>
      <c r="H59" s="95" t="s">
        <v>25</v>
      </c>
      <c r="I59" s="87">
        <v>1649.0320000000002</v>
      </c>
      <c r="J59" s="101">
        <v>200721</v>
      </c>
      <c r="K59" s="89">
        <f t="shared" si="23"/>
        <v>330995352.07200003</v>
      </c>
      <c r="L59" s="878"/>
      <c r="M59" s="307">
        <f t="shared" si="24"/>
        <v>1033.3879999999999</v>
      </c>
      <c r="N59" s="307">
        <f t="shared" si="30"/>
        <v>0</v>
      </c>
      <c r="O59" s="313">
        <f t="shared" si="25"/>
        <v>207422672.748</v>
      </c>
      <c r="P59" s="313">
        <f t="shared" si="26"/>
        <v>0</v>
      </c>
      <c r="Q59" s="313">
        <f t="shared" si="31"/>
        <v>207422672.748</v>
      </c>
      <c r="R59" s="295"/>
      <c r="S59" s="303">
        <f>+'MEMORIAS DE CANTIDADES'!L1058</f>
        <v>2682.42</v>
      </c>
      <c r="T59" s="304">
        <f t="shared" si="28"/>
        <v>200721</v>
      </c>
      <c r="U59" s="501">
        <f t="shared" si="32"/>
        <v>538418024.82000005</v>
      </c>
      <c r="V59" s="148"/>
    </row>
    <row r="60" spans="2:22" ht="30" customHeight="1">
      <c r="B60" s="80"/>
      <c r="C60" s="84">
        <v>4.7</v>
      </c>
      <c r="D60" s="97"/>
      <c r="E60" s="85"/>
      <c r="F60" s="97"/>
      <c r="G60" s="98" t="s">
        <v>63</v>
      </c>
      <c r="H60" s="97" t="s">
        <v>21</v>
      </c>
      <c r="I60" s="87">
        <v>8245.16</v>
      </c>
      <c r="J60" s="88">
        <v>70463</v>
      </c>
      <c r="K60" s="89">
        <f t="shared" si="23"/>
        <v>580978709.08000004</v>
      </c>
      <c r="L60" s="878"/>
      <c r="M60" s="307">
        <f t="shared" si="24"/>
        <v>440.84000000000015</v>
      </c>
      <c r="N60" s="307">
        <f t="shared" si="30"/>
        <v>0</v>
      </c>
      <c r="O60" s="313">
        <f t="shared" si="25"/>
        <v>31062908.920000009</v>
      </c>
      <c r="P60" s="313">
        <f t="shared" si="26"/>
        <v>0</v>
      </c>
      <c r="Q60" s="313">
        <f t="shared" si="31"/>
        <v>31062908.920000009</v>
      </c>
      <c r="R60" s="295"/>
      <c r="S60" s="303">
        <f>+'MEMORIAS DE CANTIDADES'!L1071</f>
        <v>8686</v>
      </c>
      <c r="T60" s="304">
        <f t="shared" si="28"/>
        <v>70463</v>
      </c>
      <c r="U60" s="501">
        <f t="shared" si="32"/>
        <v>612041618</v>
      </c>
      <c r="V60" s="148"/>
    </row>
    <row r="61" spans="2:22" ht="30" customHeight="1">
      <c r="B61" s="80"/>
      <c r="C61" s="84">
        <v>4.8</v>
      </c>
      <c r="D61" s="97"/>
      <c r="E61" s="85"/>
      <c r="F61" s="97"/>
      <c r="G61" s="98" t="s">
        <v>64</v>
      </c>
      <c r="H61" s="97" t="s">
        <v>65</v>
      </c>
      <c r="I61" s="87">
        <v>464</v>
      </c>
      <c r="J61" s="88">
        <v>75149</v>
      </c>
      <c r="K61" s="89">
        <f t="shared" si="23"/>
        <v>34869136</v>
      </c>
      <c r="L61" s="878"/>
      <c r="M61" s="307">
        <f t="shared" si="24"/>
        <v>898</v>
      </c>
      <c r="N61" s="307">
        <f t="shared" si="30"/>
        <v>0</v>
      </c>
      <c r="O61" s="313">
        <f t="shared" si="25"/>
        <v>67483802</v>
      </c>
      <c r="P61" s="313">
        <f t="shared" si="26"/>
        <v>0</v>
      </c>
      <c r="Q61" s="313">
        <f t="shared" si="31"/>
        <v>67483802</v>
      </c>
      <c r="R61" s="295"/>
      <c r="S61" s="303">
        <f>+'MEMORIAS DE CANTIDADES'!L1083</f>
        <v>1362</v>
      </c>
      <c r="T61" s="304">
        <f t="shared" si="28"/>
        <v>75149</v>
      </c>
      <c r="U61" s="501">
        <f t="shared" si="32"/>
        <v>102352938</v>
      </c>
      <c r="V61" s="148"/>
    </row>
    <row r="62" spans="2:22" ht="30" customHeight="1">
      <c r="B62" s="80"/>
      <c r="C62" s="84">
        <v>4.9000000000000004</v>
      </c>
      <c r="D62" s="97"/>
      <c r="E62" s="85"/>
      <c r="F62" s="97"/>
      <c r="G62" s="98" t="s">
        <v>66</v>
      </c>
      <c r="H62" s="97" t="s">
        <v>65</v>
      </c>
      <c r="I62" s="87">
        <v>928</v>
      </c>
      <c r="J62" s="88">
        <v>127081</v>
      </c>
      <c r="K62" s="89">
        <f t="shared" si="23"/>
        <v>117931168</v>
      </c>
      <c r="L62" s="878"/>
      <c r="M62" s="307">
        <f t="shared" si="24"/>
        <v>644</v>
      </c>
      <c r="N62" s="307">
        <f t="shared" si="30"/>
        <v>0</v>
      </c>
      <c r="O62" s="313">
        <f t="shared" si="25"/>
        <v>81840164</v>
      </c>
      <c r="P62" s="313">
        <f t="shared" si="26"/>
        <v>0</v>
      </c>
      <c r="Q62" s="313">
        <f t="shared" si="31"/>
        <v>81840164</v>
      </c>
      <c r="R62" s="295"/>
      <c r="S62" s="303">
        <f>+'MEMORIAS DE CANTIDADES'!L1095</f>
        <v>1572</v>
      </c>
      <c r="T62" s="304">
        <f t="shared" si="28"/>
        <v>127081</v>
      </c>
      <c r="U62" s="501">
        <f t="shared" si="32"/>
        <v>199771332</v>
      </c>
      <c r="V62" s="148"/>
    </row>
    <row r="63" spans="2:22" ht="30" customHeight="1">
      <c r="B63" s="80"/>
      <c r="C63" s="143" t="s">
        <v>844</v>
      </c>
      <c r="D63" s="97"/>
      <c r="E63" s="85"/>
      <c r="F63" s="97"/>
      <c r="G63" s="98" t="s">
        <v>67</v>
      </c>
      <c r="H63" s="97" t="s">
        <v>65</v>
      </c>
      <c r="I63" s="87">
        <v>284</v>
      </c>
      <c r="J63" s="88">
        <v>95101</v>
      </c>
      <c r="K63" s="89">
        <f t="shared" si="23"/>
        <v>27008684</v>
      </c>
      <c r="L63" s="878"/>
      <c r="M63" s="307">
        <f t="shared" si="24"/>
        <v>1996.7599999999998</v>
      </c>
      <c r="N63" s="307">
        <f t="shared" si="30"/>
        <v>0</v>
      </c>
      <c r="O63" s="313">
        <f t="shared" si="25"/>
        <v>189893872.75999999</v>
      </c>
      <c r="P63" s="313">
        <f t="shared" si="26"/>
        <v>0</v>
      </c>
      <c r="Q63" s="313">
        <f t="shared" si="31"/>
        <v>189893872.75999999</v>
      </c>
      <c r="R63" s="295"/>
      <c r="S63" s="303">
        <f>+'MEMORIAS DE CANTIDADES'!L1107</f>
        <v>2280.7599999999998</v>
      </c>
      <c r="T63" s="304">
        <f t="shared" si="28"/>
        <v>95101</v>
      </c>
      <c r="U63" s="501">
        <f t="shared" si="32"/>
        <v>216902556.75999999</v>
      </c>
      <c r="V63" s="212"/>
    </row>
    <row r="64" spans="2:22" ht="30" customHeight="1">
      <c r="B64" s="80"/>
      <c r="C64" s="90">
        <v>4.1100000000000003</v>
      </c>
      <c r="D64" s="97"/>
      <c r="E64" s="97"/>
      <c r="F64" s="97"/>
      <c r="G64" s="98" t="s">
        <v>68</v>
      </c>
      <c r="H64" s="102" t="s">
        <v>65</v>
      </c>
      <c r="I64" s="87">
        <v>186.2</v>
      </c>
      <c r="J64" s="88">
        <v>336569</v>
      </c>
      <c r="K64" s="89">
        <f t="shared" si="23"/>
        <v>62669147.799999997</v>
      </c>
      <c r="L64" s="878"/>
      <c r="M64" s="307">
        <f t="shared" si="24"/>
        <v>233.8</v>
      </c>
      <c r="N64" s="307">
        <f t="shared" si="30"/>
        <v>0</v>
      </c>
      <c r="O64" s="313">
        <f t="shared" si="25"/>
        <v>78689832.200000003</v>
      </c>
      <c r="P64" s="313">
        <f t="shared" si="26"/>
        <v>0</v>
      </c>
      <c r="Q64" s="313">
        <f t="shared" si="31"/>
        <v>78689832.200000003</v>
      </c>
      <c r="R64" s="295"/>
      <c r="S64" s="303">
        <f>+'MEMORIAS DE CANTIDADES'!L1121</f>
        <v>420</v>
      </c>
      <c r="T64" s="304">
        <f t="shared" si="28"/>
        <v>336569</v>
      </c>
      <c r="U64" s="501">
        <f t="shared" si="32"/>
        <v>141358980</v>
      </c>
      <c r="V64" s="148"/>
    </row>
    <row r="65" spans="2:22" ht="30" customHeight="1">
      <c r="B65" s="80"/>
      <c r="C65" s="90">
        <v>4.12</v>
      </c>
      <c r="D65" s="97"/>
      <c r="E65" s="97"/>
      <c r="F65" s="97"/>
      <c r="G65" s="98" t="s">
        <v>69</v>
      </c>
      <c r="H65" s="102" t="s">
        <v>21</v>
      </c>
      <c r="I65" s="87">
        <v>4656.16</v>
      </c>
      <c r="J65" s="88">
        <v>109710</v>
      </c>
      <c r="K65" s="89">
        <f t="shared" si="23"/>
        <v>510827313.59999996</v>
      </c>
      <c r="L65" s="878"/>
      <c r="M65" s="307">
        <f t="shared" si="24"/>
        <v>0</v>
      </c>
      <c r="N65" s="307">
        <f t="shared" si="30"/>
        <v>4656.16</v>
      </c>
      <c r="O65" s="313">
        <f t="shared" si="25"/>
        <v>0</v>
      </c>
      <c r="P65" s="313">
        <f t="shared" si="26"/>
        <v>510827313.59999996</v>
      </c>
      <c r="Q65" s="313">
        <f t="shared" si="31"/>
        <v>-510827313.59999996</v>
      </c>
      <c r="R65" s="295"/>
      <c r="S65" s="303">
        <v>0</v>
      </c>
      <c r="T65" s="304">
        <f t="shared" si="28"/>
        <v>109710</v>
      </c>
      <c r="U65" s="501">
        <f t="shared" si="32"/>
        <v>0</v>
      </c>
      <c r="V65" s="211"/>
    </row>
    <row r="66" spans="2:22" ht="30" customHeight="1">
      <c r="B66" s="80"/>
      <c r="C66" s="90">
        <v>4.13</v>
      </c>
      <c r="D66" s="97"/>
      <c r="E66" s="97"/>
      <c r="F66" s="97"/>
      <c r="G66" s="98" t="s">
        <v>70</v>
      </c>
      <c r="H66" s="102" t="s">
        <v>71</v>
      </c>
      <c r="I66" s="87">
        <v>11</v>
      </c>
      <c r="J66" s="88">
        <v>2083416</v>
      </c>
      <c r="K66" s="89">
        <f t="shared" si="23"/>
        <v>22917576</v>
      </c>
      <c r="L66" s="878"/>
      <c r="M66" s="307">
        <f t="shared" si="24"/>
        <v>12</v>
      </c>
      <c r="N66" s="307">
        <f t="shared" si="30"/>
        <v>0</v>
      </c>
      <c r="O66" s="313">
        <f t="shared" si="25"/>
        <v>25000992</v>
      </c>
      <c r="P66" s="313">
        <f t="shared" si="26"/>
        <v>0</v>
      </c>
      <c r="Q66" s="313">
        <f t="shared" si="31"/>
        <v>25000992</v>
      </c>
      <c r="R66" s="295"/>
      <c r="S66" s="303">
        <f>+'MEMORIAS DE CANTIDADES'!L1145</f>
        <v>23</v>
      </c>
      <c r="T66" s="304">
        <f t="shared" si="28"/>
        <v>2083416</v>
      </c>
      <c r="U66" s="501">
        <f t="shared" si="32"/>
        <v>47918568</v>
      </c>
      <c r="V66" s="211"/>
    </row>
    <row r="67" spans="2:22" ht="30" customHeight="1">
      <c r="B67" s="80"/>
      <c r="C67" s="90">
        <v>4.1399999999999997</v>
      </c>
      <c r="D67" s="97"/>
      <c r="E67" s="97"/>
      <c r="F67" s="97"/>
      <c r="G67" s="98" t="s">
        <v>72</v>
      </c>
      <c r="H67" s="102" t="s">
        <v>25</v>
      </c>
      <c r="I67" s="87">
        <v>91.057500000000005</v>
      </c>
      <c r="J67" s="88">
        <v>887959</v>
      </c>
      <c r="K67" s="89">
        <f t="shared" si="23"/>
        <v>80855326.642499998</v>
      </c>
      <c r="L67" s="878"/>
      <c r="M67" s="307">
        <f t="shared" si="24"/>
        <v>128.73849999999999</v>
      </c>
      <c r="N67" s="307">
        <f t="shared" si="30"/>
        <v>0</v>
      </c>
      <c r="O67" s="313">
        <f t="shared" si="25"/>
        <v>114314509.72149999</v>
      </c>
      <c r="P67" s="313">
        <f t="shared" si="26"/>
        <v>0</v>
      </c>
      <c r="Q67" s="313">
        <f t="shared" si="31"/>
        <v>114314509.72149999</v>
      </c>
      <c r="R67" s="295"/>
      <c r="S67" s="303">
        <f>+'MEMORIAS DE CANTIDADES'!L1157</f>
        <v>219.79599999999999</v>
      </c>
      <c r="T67" s="304">
        <f t="shared" si="28"/>
        <v>887959</v>
      </c>
      <c r="U67" s="501">
        <f t="shared" si="32"/>
        <v>195169836.36399999</v>
      </c>
      <c r="V67" s="148"/>
    </row>
    <row r="68" spans="2:22" ht="30" customHeight="1">
      <c r="B68" s="80"/>
      <c r="C68" s="90">
        <v>4.1500000000000004</v>
      </c>
      <c r="D68" s="97"/>
      <c r="E68" s="97"/>
      <c r="F68" s="97"/>
      <c r="G68" s="98" t="s">
        <v>73</v>
      </c>
      <c r="H68" s="102" t="s">
        <v>65</v>
      </c>
      <c r="I68" s="87">
        <v>190</v>
      </c>
      <c r="J68" s="88">
        <v>808027</v>
      </c>
      <c r="K68" s="89">
        <f t="shared" si="23"/>
        <v>153525130</v>
      </c>
      <c r="L68" s="878"/>
      <c r="M68" s="307">
        <f t="shared" si="24"/>
        <v>0</v>
      </c>
      <c r="N68" s="307">
        <f t="shared" si="30"/>
        <v>190</v>
      </c>
      <c r="O68" s="313">
        <f t="shared" si="25"/>
        <v>0</v>
      </c>
      <c r="P68" s="313">
        <f t="shared" si="26"/>
        <v>153525130</v>
      </c>
      <c r="Q68" s="313">
        <f t="shared" si="31"/>
        <v>-153525130</v>
      </c>
      <c r="R68" s="295"/>
      <c r="S68" s="303">
        <v>0</v>
      </c>
      <c r="T68" s="304">
        <f t="shared" si="28"/>
        <v>808027</v>
      </c>
      <c r="U68" s="501">
        <f t="shared" si="32"/>
        <v>0</v>
      </c>
      <c r="V68" s="148"/>
    </row>
    <row r="69" spans="2:22" ht="30" customHeight="1">
      <c r="B69" s="80"/>
      <c r="C69" s="90">
        <v>4.16</v>
      </c>
      <c r="D69" s="97"/>
      <c r="E69" s="97"/>
      <c r="F69" s="97"/>
      <c r="G69" s="98" t="s">
        <v>74</v>
      </c>
      <c r="H69" s="102" t="s">
        <v>25</v>
      </c>
      <c r="I69" s="87">
        <v>355.3</v>
      </c>
      <c r="J69" s="88">
        <v>338222</v>
      </c>
      <c r="K69" s="89">
        <f t="shared" si="23"/>
        <v>120170276.60000001</v>
      </c>
      <c r="L69" s="878"/>
      <c r="M69" s="307">
        <f t="shared" si="24"/>
        <v>0</v>
      </c>
      <c r="N69" s="307">
        <f t="shared" si="30"/>
        <v>137.49999999999994</v>
      </c>
      <c r="O69" s="313">
        <f t="shared" si="25"/>
        <v>0</v>
      </c>
      <c r="P69" s="313">
        <f t="shared" si="26"/>
        <v>46505524.999999978</v>
      </c>
      <c r="Q69" s="313">
        <f t="shared" si="31"/>
        <v>-46505524.999999978</v>
      </c>
      <c r="R69" s="295"/>
      <c r="S69" s="303">
        <f>+'MEMORIAS DE CANTIDADES'!L1184</f>
        <v>217.80000000000007</v>
      </c>
      <c r="T69" s="304">
        <f t="shared" si="28"/>
        <v>338222</v>
      </c>
      <c r="U69" s="501">
        <f t="shared" si="32"/>
        <v>73664751.600000024</v>
      </c>
      <c r="V69" s="148"/>
    </row>
    <row r="70" spans="2:22" ht="30" customHeight="1" thickBot="1">
      <c r="B70" s="80"/>
      <c r="C70" s="103" t="s">
        <v>8</v>
      </c>
      <c r="D70" s="592"/>
      <c r="E70" s="592"/>
      <c r="F70" s="592"/>
      <c r="G70" s="593"/>
      <c r="H70" s="592"/>
      <c r="I70" s="507"/>
      <c r="J70" s="104"/>
      <c r="K70" s="105">
        <f>SUM(K54:K69)</f>
        <v>2775094575.4520998</v>
      </c>
      <c r="L70" s="879"/>
      <c r="M70" s="503"/>
      <c r="N70" s="319"/>
      <c r="O70" s="309">
        <f>SUM(O54:O69)</f>
        <v>1712528233.2519228</v>
      </c>
      <c r="P70" s="309">
        <f>SUM(P54:P69)</f>
        <v>710857968.5999999</v>
      </c>
      <c r="Q70" s="309">
        <f>SUM(Q54:Q69)</f>
        <v>1001670264.6519229</v>
      </c>
      <c r="R70" s="295"/>
      <c r="S70" s="309"/>
      <c r="T70" s="309"/>
      <c r="U70" s="506">
        <f>SUM(U54:U69)</f>
        <v>3776764840.104023</v>
      </c>
      <c r="V70" s="284"/>
    </row>
    <row r="71" spans="2:22" ht="30" customHeight="1" thickBot="1">
      <c r="B71" s="80"/>
      <c r="C71" s="886" t="s">
        <v>75</v>
      </c>
      <c r="D71" s="887"/>
      <c r="E71" s="887"/>
      <c r="F71" s="887"/>
      <c r="G71" s="887"/>
      <c r="H71" s="887"/>
      <c r="I71" s="887"/>
      <c r="J71" s="887"/>
      <c r="K71" s="887"/>
      <c r="L71" s="887"/>
      <c r="M71" s="887"/>
      <c r="N71" s="887"/>
      <c r="O71" s="920"/>
      <c r="P71" s="920"/>
      <c r="Q71" s="920"/>
      <c r="R71" s="589"/>
      <c r="S71" s="589"/>
      <c r="T71" s="589"/>
      <c r="U71" s="500"/>
      <c r="V71" s="212"/>
    </row>
    <row r="72" spans="2:22" ht="30" customHeight="1">
      <c r="B72" s="80"/>
      <c r="C72" s="84">
        <v>5.0999999999999996</v>
      </c>
      <c r="D72" s="251"/>
      <c r="E72" s="251"/>
      <c r="F72" s="251"/>
      <c r="G72" s="252" t="s">
        <v>76</v>
      </c>
      <c r="H72" s="251" t="s">
        <v>21</v>
      </c>
      <c r="I72" s="249">
        <v>311.64</v>
      </c>
      <c r="J72" s="246">
        <v>105547</v>
      </c>
      <c r="K72" s="89">
        <f t="shared" ref="K72:K78" si="33">I72*J72</f>
        <v>32892667.079999998</v>
      </c>
      <c r="L72" s="877"/>
      <c r="M72" s="307">
        <f t="shared" ref="M72:M78" si="34">+IF(I72&lt;S72,S72-I72,0)</f>
        <v>0</v>
      </c>
      <c r="N72" s="307">
        <f t="shared" ref="N72:N78" si="35">+IF(I72&gt;S72,-S72+I72,0)</f>
        <v>100</v>
      </c>
      <c r="O72" s="313">
        <f t="shared" ref="O72:O78" si="36">+M72*J72</f>
        <v>0</v>
      </c>
      <c r="P72" s="313">
        <f t="shared" ref="P72:P78" si="37">+N72*J72</f>
        <v>10554700</v>
      </c>
      <c r="Q72" s="313">
        <f t="shared" ref="Q72:Q74" si="38">+O72-P72</f>
        <v>-10554700</v>
      </c>
      <c r="R72" s="872"/>
      <c r="S72" s="303">
        <f>+'MEMORIAS DE CANTIDADES'!L1197</f>
        <v>211.64</v>
      </c>
      <c r="T72" s="304">
        <f t="shared" ref="T72:T78" si="39">+J72</f>
        <v>105547</v>
      </c>
      <c r="U72" s="501">
        <f t="shared" ref="U72" si="40">+S72*T72</f>
        <v>22337967.079999998</v>
      </c>
      <c r="V72" s="148"/>
    </row>
    <row r="73" spans="2:22" ht="30" customHeight="1">
      <c r="B73" s="80"/>
      <c r="C73" s="84">
        <v>5.2</v>
      </c>
      <c r="D73" s="99"/>
      <c r="E73" s="99"/>
      <c r="F73" s="99"/>
      <c r="G73" s="98" t="s">
        <v>77</v>
      </c>
      <c r="H73" s="97" t="s">
        <v>21</v>
      </c>
      <c r="I73" s="87">
        <v>2142.0330999999996</v>
      </c>
      <c r="J73" s="88">
        <v>98370</v>
      </c>
      <c r="K73" s="89">
        <f t="shared" si="33"/>
        <v>210711796.04699996</v>
      </c>
      <c r="L73" s="878"/>
      <c r="M73" s="307">
        <f t="shared" si="34"/>
        <v>0</v>
      </c>
      <c r="N73" s="307">
        <f t="shared" si="35"/>
        <v>119.07300000000032</v>
      </c>
      <c r="O73" s="313">
        <f t="shared" si="36"/>
        <v>0</v>
      </c>
      <c r="P73" s="313">
        <f t="shared" si="37"/>
        <v>11713211.010000031</v>
      </c>
      <c r="Q73" s="313">
        <f t="shared" si="38"/>
        <v>-11713211.010000031</v>
      </c>
      <c r="R73" s="872"/>
      <c r="S73" s="303">
        <f>+'MEMORIAS DE CANTIDADES'!L1210</f>
        <v>2022.9600999999993</v>
      </c>
      <c r="T73" s="304">
        <f t="shared" si="39"/>
        <v>98370</v>
      </c>
      <c r="U73" s="501">
        <f t="shared" ref="U73:U78" si="41">+S73*T73</f>
        <v>198998585.03699994</v>
      </c>
      <c r="V73" s="148"/>
    </row>
    <row r="74" spans="2:22" ht="30" customHeight="1">
      <c r="B74" s="80"/>
      <c r="C74" s="84">
        <v>5.3</v>
      </c>
      <c r="D74" s="97"/>
      <c r="E74" s="97"/>
      <c r="F74" s="97"/>
      <c r="G74" s="98" t="s">
        <v>78</v>
      </c>
      <c r="H74" s="97" t="s">
        <v>21</v>
      </c>
      <c r="I74" s="87">
        <v>4270.3061999999991</v>
      </c>
      <c r="J74" s="88">
        <v>41627</v>
      </c>
      <c r="K74" s="89">
        <f t="shared" si="33"/>
        <v>177760036.18739995</v>
      </c>
      <c r="L74" s="878"/>
      <c r="M74" s="307">
        <f t="shared" si="34"/>
        <v>1796.6940000000013</v>
      </c>
      <c r="N74" s="307">
        <f t="shared" si="35"/>
        <v>0</v>
      </c>
      <c r="O74" s="313">
        <f t="shared" si="36"/>
        <v>74790981.138000056</v>
      </c>
      <c r="P74" s="313">
        <f t="shared" si="37"/>
        <v>0</v>
      </c>
      <c r="Q74" s="313">
        <f t="shared" si="38"/>
        <v>74790981.138000056</v>
      </c>
      <c r="R74" s="872"/>
      <c r="S74" s="303">
        <f>+'MEMORIAS DE CANTIDADES'!L1259</f>
        <v>6067.0002000000004</v>
      </c>
      <c r="T74" s="304">
        <f t="shared" si="39"/>
        <v>41627</v>
      </c>
      <c r="U74" s="501">
        <f t="shared" si="41"/>
        <v>252551017.32540002</v>
      </c>
      <c r="V74" s="148"/>
    </row>
    <row r="75" spans="2:22" ht="30" customHeight="1">
      <c r="B75" s="80"/>
      <c r="C75" s="84">
        <v>5.4</v>
      </c>
      <c r="D75" s="95"/>
      <c r="E75" s="95"/>
      <c r="F75" s="95"/>
      <c r="G75" s="100" t="s">
        <v>79</v>
      </c>
      <c r="H75" s="95" t="s">
        <v>65</v>
      </c>
      <c r="I75" s="87">
        <v>196.37599999999998</v>
      </c>
      <c r="J75" s="88">
        <v>82372</v>
      </c>
      <c r="K75" s="89">
        <f t="shared" si="33"/>
        <v>16175883.871999998</v>
      </c>
      <c r="L75" s="878"/>
      <c r="M75" s="307">
        <f t="shared" si="34"/>
        <v>0</v>
      </c>
      <c r="N75" s="307">
        <f t="shared" si="35"/>
        <v>0</v>
      </c>
      <c r="O75" s="313">
        <f t="shared" si="36"/>
        <v>0</v>
      </c>
      <c r="P75" s="313">
        <f t="shared" si="37"/>
        <v>0</v>
      </c>
      <c r="Q75" s="313">
        <f t="shared" ref="Q75:Q78" si="42">+O75-P75</f>
        <v>0</v>
      </c>
      <c r="R75" s="872"/>
      <c r="S75" s="303">
        <f>+'MEMORIAS DE CANTIDADES'!L1306</f>
        <v>196.37599999999998</v>
      </c>
      <c r="T75" s="304">
        <f t="shared" si="39"/>
        <v>82372</v>
      </c>
      <c r="U75" s="501">
        <f t="shared" si="41"/>
        <v>16175883.871999998</v>
      </c>
      <c r="V75" s="148"/>
    </row>
    <row r="76" spans="2:22" ht="30" customHeight="1">
      <c r="B76" s="80"/>
      <c r="C76" s="84">
        <v>5.5</v>
      </c>
      <c r="D76" s="97"/>
      <c r="E76" s="97"/>
      <c r="F76" s="97"/>
      <c r="G76" s="98" t="s">
        <v>80</v>
      </c>
      <c r="H76" s="97" t="s">
        <v>25</v>
      </c>
      <c r="I76" s="87">
        <v>40.366680000000002</v>
      </c>
      <c r="J76" s="101">
        <v>1302115</v>
      </c>
      <c r="K76" s="89">
        <f t="shared" si="33"/>
        <v>52562059.528200001</v>
      </c>
      <c r="L76" s="878"/>
      <c r="M76" s="307">
        <f t="shared" si="34"/>
        <v>180.15791999999999</v>
      </c>
      <c r="N76" s="307">
        <f t="shared" si="35"/>
        <v>0</v>
      </c>
      <c r="O76" s="313">
        <f t="shared" si="36"/>
        <v>234586330.00079998</v>
      </c>
      <c r="P76" s="313">
        <f t="shared" si="37"/>
        <v>0</v>
      </c>
      <c r="Q76" s="313">
        <f t="shared" si="42"/>
        <v>234586330.00079998</v>
      </c>
      <c r="R76" s="872"/>
      <c r="S76" s="303">
        <f>+'MEMORIAS DE CANTIDADES'!L1319</f>
        <v>220.52459999999999</v>
      </c>
      <c r="T76" s="304">
        <f t="shared" si="39"/>
        <v>1302115</v>
      </c>
      <c r="U76" s="501">
        <f t="shared" si="41"/>
        <v>287148389.52899998</v>
      </c>
      <c r="V76" s="148"/>
    </row>
    <row r="77" spans="2:22" ht="30" customHeight="1">
      <c r="B77" s="80"/>
      <c r="C77" s="84">
        <v>5.6</v>
      </c>
      <c r="D77" s="95"/>
      <c r="E77" s="95"/>
      <c r="F77" s="95"/>
      <c r="G77" s="100" t="s">
        <v>81</v>
      </c>
      <c r="H77" s="95" t="s">
        <v>65</v>
      </c>
      <c r="I77" s="87">
        <v>64.52</v>
      </c>
      <c r="J77" s="101">
        <v>1313009</v>
      </c>
      <c r="K77" s="89">
        <f t="shared" si="33"/>
        <v>84715340.679999992</v>
      </c>
      <c r="L77" s="878"/>
      <c r="M77" s="307">
        <f t="shared" si="34"/>
        <v>0</v>
      </c>
      <c r="N77" s="307">
        <f t="shared" si="35"/>
        <v>20</v>
      </c>
      <c r="O77" s="313">
        <f t="shared" si="36"/>
        <v>0</v>
      </c>
      <c r="P77" s="313">
        <f t="shared" si="37"/>
        <v>26260180</v>
      </c>
      <c r="Q77" s="313">
        <f t="shared" si="42"/>
        <v>-26260180</v>
      </c>
      <c r="R77" s="872"/>
      <c r="S77" s="303">
        <f>+'MEMORIAS DE CANTIDADES'!L1359</f>
        <v>44.519999999999996</v>
      </c>
      <c r="T77" s="304">
        <f t="shared" si="39"/>
        <v>1313009</v>
      </c>
      <c r="U77" s="501">
        <f t="shared" si="41"/>
        <v>58455160.679999992</v>
      </c>
      <c r="V77" s="148"/>
    </row>
    <row r="78" spans="2:22" ht="30" customHeight="1">
      <c r="B78" s="80"/>
      <c r="C78" s="84">
        <v>5.7</v>
      </c>
      <c r="D78" s="97"/>
      <c r="E78" s="85"/>
      <c r="F78" s="97"/>
      <c r="G78" s="98" t="s">
        <v>82</v>
      </c>
      <c r="H78" s="97" t="s">
        <v>21</v>
      </c>
      <c r="I78" s="87">
        <v>20.04</v>
      </c>
      <c r="J78" s="88">
        <v>232170</v>
      </c>
      <c r="K78" s="89">
        <f t="shared" si="33"/>
        <v>4652686.8</v>
      </c>
      <c r="L78" s="878"/>
      <c r="M78" s="307">
        <f t="shared" si="34"/>
        <v>0</v>
      </c>
      <c r="N78" s="307">
        <f t="shared" si="35"/>
        <v>14.04</v>
      </c>
      <c r="O78" s="313">
        <f t="shared" si="36"/>
        <v>0</v>
      </c>
      <c r="P78" s="313">
        <f t="shared" si="37"/>
        <v>3259666.8</v>
      </c>
      <c r="Q78" s="313">
        <f t="shared" si="42"/>
        <v>-3259666.8</v>
      </c>
      <c r="R78" s="872"/>
      <c r="S78" s="303">
        <f>+'MEMORIAS DE CANTIDADES'!L1370</f>
        <v>6</v>
      </c>
      <c r="T78" s="304">
        <f t="shared" si="39"/>
        <v>232170</v>
      </c>
      <c r="U78" s="501">
        <f t="shared" si="41"/>
        <v>1393020</v>
      </c>
      <c r="V78" s="148"/>
    </row>
    <row r="79" spans="2:22" ht="30" customHeight="1" thickBot="1">
      <c r="B79" s="80"/>
      <c r="C79" s="103" t="s">
        <v>8</v>
      </c>
      <c r="D79" s="592"/>
      <c r="E79" s="592"/>
      <c r="F79" s="592"/>
      <c r="G79" s="593"/>
      <c r="H79" s="592"/>
      <c r="I79" s="507"/>
      <c r="J79" s="104"/>
      <c r="K79" s="105">
        <f>SUM(K72:K78)</f>
        <v>579470470.19459987</v>
      </c>
      <c r="L79" s="879"/>
      <c r="M79" s="503"/>
      <c r="N79" s="319"/>
      <c r="O79" s="309">
        <f>SUM(O72:O78)</f>
        <v>309377311.13880002</v>
      </c>
      <c r="P79" s="309">
        <f>SUM(P72:P78)</f>
        <v>51787757.810000032</v>
      </c>
      <c r="Q79" s="309">
        <f>SUM(Q72:Q78)</f>
        <v>257589553.32880002</v>
      </c>
      <c r="R79" s="872"/>
      <c r="S79" s="309"/>
      <c r="T79" s="309"/>
      <c r="U79" s="506">
        <f>SUM(U72:U78)</f>
        <v>837060023.52339995</v>
      </c>
      <c r="V79" s="284"/>
    </row>
    <row r="80" spans="2:22" ht="30" customHeight="1" thickBot="1">
      <c r="B80" s="80"/>
      <c r="C80" s="886" t="s">
        <v>83</v>
      </c>
      <c r="D80" s="887"/>
      <c r="E80" s="887"/>
      <c r="F80" s="887"/>
      <c r="G80" s="887"/>
      <c r="H80" s="887"/>
      <c r="I80" s="887"/>
      <c r="J80" s="887"/>
      <c r="K80" s="887"/>
      <c r="L80" s="888"/>
      <c r="M80" s="887"/>
      <c r="N80" s="887"/>
      <c r="O80" s="920"/>
      <c r="P80" s="920"/>
      <c r="Q80" s="920"/>
      <c r="R80" s="589"/>
      <c r="S80" s="589"/>
      <c r="T80" s="589"/>
      <c r="U80" s="500"/>
      <c r="V80" s="148"/>
    </row>
    <row r="81" spans="2:22" ht="30" customHeight="1">
      <c r="B81" s="80"/>
      <c r="C81" s="84">
        <v>6.1</v>
      </c>
      <c r="D81" s="251"/>
      <c r="E81" s="251"/>
      <c r="F81" s="251"/>
      <c r="G81" s="419" t="s">
        <v>84</v>
      </c>
      <c r="H81" s="251" t="s">
        <v>25</v>
      </c>
      <c r="I81" s="249">
        <v>594.01074999999992</v>
      </c>
      <c r="J81" s="246">
        <v>83705</v>
      </c>
      <c r="K81" s="89">
        <f t="shared" ref="K81:K94" si="43">I81*J81</f>
        <v>49721669.828749992</v>
      </c>
      <c r="L81" s="895"/>
      <c r="M81" s="508">
        <f t="shared" ref="M81:M94" si="44">+IF(I81&lt;S81,S81-I81,0)</f>
        <v>1247.24965</v>
      </c>
      <c r="N81" s="307">
        <f t="shared" ref="N81:N94" si="45">+IF(I81&gt;S81,-S81+I81,0)</f>
        <v>0</v>
      </c>
      <c r="O81" s="313">
        <f t="shared" ref="O81:O94" si="46">+M81*J81</f>
        <v>104401031.95324999</v>
      </c>
      <c r="P81" s="313">
        <f t="shared" ref="P81:P94" si="47">+N81*J81</f>
        <v>0</v>
      </c>
      <c r="Q81" s="313">
        <f t="shared" ref="Q81:Q82" si="48">+O81-P81</f>
        <v>104401031.95324999</v>
      </c>
      <c r="R81" s="295"/>
      <c r="S81" s="303">
        <f>+'MEMORIAS DE CANTIDADES'!L1385</f>
        <v>1841.2603999999999</v>
      </c>
      <c r="T81" s="304">
        <f t="shared" ref="T81:T94" si="49">+J81</f>
        <v>83705</v>
      </c>
      <c r="U81" s="501">
        <f t="shared" ref="U81" si="50">+S81*T81</f>
        <v>154122701.78200001</v>
      </c>
      <c r="V81" s="148"/>
    </row>
    <row r="82" spans="2:22" ht="30" customHeight="1">
      <c r="B82" s="80"/>
      <c r="C82" s="84">
        <v>6.2</v>
      </c>
      <c r="D82" s="99"/>
      <c r="E82" s="99"/>
      <c r="F82" s="99"/>
      <c r="G82" s="98" t="s">
        <v>85</v>
      </c>
      <c r="H82" s="97" t="s">
        <v>25</v>
      </c>
      <c r="I82" s="87">
        <v>89.652000000000001</v>
      </c>
      <c r="J82" s="88">
        <v>570473</v>
      </c>
      <c r="K82" s="89">
        <f t="shared" si="43"/>
        <v>51144045.395999998</v>
      </c>
      <c r="L82" s="896"/>
      <c r="M82" s="508">
        <f t="shared" si="44"/>
        <v>53.729999999999976</v>
      </c>
      <c r="N82" s="307">
        <f t="shared" si="45"/>
        <v>0</v>
      </c>
      <c r="O82" s="313">
        <f t="shared" si="46"/>
        <v>30651514.289999984</v>
      </c>
      <c r="P82" s="313">
        <f t="shared" si="47"/>
        <v>0</v>
      </c>
      <c r="Q82" s="313">
        <f t="shared" si="48"/>
        <v>30651514.289999984</v>
      </c>
      <c r="R82" s="295"/>
      <c r="S82" s="303">
        <f>+'MEMORIAS DE CANTIDADES'!L1408</f>
        <v>143.38199999999998</v>
      </c>
      <c r="T82" s="304">
        <f t="shared" si="49"/>
        <v>570473</v>
      </c>
      <c r="U82" s="501">
        <f t="shared" ref="U82:U94" si="51">+S82*T82</f>
        <v>81795559.68599999</v>
      </c>
      <c r="V82" s="148"/>
    </row>
    <row r="83" spans="2:22" ht="30" customHeight="1">
      <c r="B83" s="80"/>
      <c r="C83" s="84">
        <v>6.3</v>
      </c>
      <c r="D83" s="97"/>
      <c r="E83" s="97"/>
      <c r="F83" s="97"/>
      <c r="G83" s="98" t="s">
        <v>86</v>
      </c>
      <c r="H83" s="97" t="s">
        <v>25</v>
      </c>
      <c r="I83" s="87">
        <v>98.897500000000008</v>
      </c>
      <c r="J83" s="88">
        <v>108681</v>
      </c>
      <c r="K83" s="89">
        <f t="shared" si="43"/>
        <v>10748279.197500002</v>
      </c>
      <c r="L83" s="896"/>
      <c r="M83" s="508">
        <f t="shared" si="44"/>
        <v>188.51300000000001</v>
      </c>
      <c r="N83" s="307">
        <f t="shared" si="45"/>
        <v>0</v>
      </c>
      <c r="O83" s="313">
        <f t="shared" si="46"/>
        <v>20487781.353</v>
      </c>
      <c r="P83" s="313">
        <f t="shared" si="47"/>
        <v>0</v>
      </c>
      <c r="Q83" s="313">
        <f t="shared" ref="Q83:Q94" si="52">+O83-P83</f>
        <v>20487781.353</v>
      </c>
      <c r="R83" s="295"/>
      <c r="S83" s="303">
        <f>+'MEMORIAS DE CANTIDADES'!L1424</f>
        <v>287.41050000000001</v>
      </c>
      <c r="T83" s="304">
        <f t="shared" si="49"/>
        <v>108681</v>
      </c>
      <c r="U83" s="501">
        <f t="shared" si="51"/>
        <v>31236060.550500002</v>
      </c>
      <c r="V83" s="148"/>
    </row>
    <row r="84" spans="2:22" ht="30" customHeight="1">
      <c r="B84" s="80"/>
      <c r="C84" s="84">
        <v>6.4</v>
      </c>
      <c r="D84" s="95"/>
      <c r="E84" s="95"/>
      <c r="F84" s="95"/>
      <c r="G84" s="100" t="s">
        <v>46</v>
      </c>
      <c r="H84" s="95" t="s">
        <v>21</v>
      </c>
      <c r="I84" s="87">
        <v>98.897500000000008</v>
      </c>
      <c r="J84" s="88">
        <v>41144</v>
      </c>
      <c r="K84" s="89">
        <f t="shared" si="43"/>
        <v>4069038.74</v>
      </c>
      <c r="L84" s="896"/>
      <c r="M84" s="508">
        <f t="shared" si="44"/>
        <v>124.64399999999998</v>
      </c>
      <c r="N84" s="307">
        <f t="shared" si="45"/>
        <v>0</v>
      </c>
      <c r="O84" s="313">
        <f t="shared" si="46"/>
        <v>5128352.7359999986</v>
      </c>
      <c r="P84" s="313">
        <f t="shared" si="47"/>
        <v>0</v>
      </c>
      <c r="Q84" s="313">
        <f t="shared" si="52"/>
        <v>5128352.7359999986</v>
      </c>
      <c r="R84" s="295"/>
      <c r="S84" s="303">
        <f>+'MEMORIAS DE CANTIDADES'!L1441</f>
        <v>223.54149999999998</v>
      </c>
      <c r="T84" s="304">
        <f t="shared" si="49"/>
        <v>41144</v>
      </c>
      <c r="U84" s="501">
        <f t="shared" si="51"/>
        <v>9197391.4759999998</v>
      </c>
      <c r="V84" s="148"/>
    </row>
    <row r="85" spans="2:22" ht="30" customHeight="1">
      <c r="B85" s="80"/>
      <c r="C85" s="84">
        <v>6.5</v>
      </c>
      <c r="D85" s="97"/>
      <c r="E85" s="97"/>
      <c r="F85" s="97"/>
      <c r="G85" s="98" t="s">
        <v>87</v>
      </c>
      <c r="H85" s="97" t="s">
        <v>25</v>
      </c>
      <c r="I85" s="87">
        <v>133.845</v>
      </c>
      <c r="J85" s="101">
        <v>1082757</v>
      </c>
      <c r="K85" s="89">
        <f t="shared" si="43"/>
        <v>144921610.66499999</v>
      </c>
      <c r="L85" s="896"/>
      <c r="M85" s="508">
        <f t="shared" si="44"/>
        <v>0</v>
      </c>
      <c r="N85" s="307">
        <f t="shared" si="45"/>
        <v>133.845</v>
      </c>
      <c r="O85" s="313">
        <f t="shared" si="46"/>
        <v>0</v>
      </c>
      <c r="P85" s="313">
        <f t="shared" si="47"/>
        <v>144921610.66499999</v>
      </c>
      <c r="Q85" s="313">
        <f t="shared" si="52"/>
        <v>-144921610.66499999</v>
      </c>
      <c r="R85" s="295"/>
      <c r="S85" s="303">
        <v>0</v>
      </c>
      <c r="T85" s="304">
        <f t="shared" si="49"/>
        <v>1082757</v>
      </c>
      <c r="U85" s="501">
        <f t="shared" si="51"/>
        <v>0</v>
      </c>
      <c r="V85" s="148"/>
    </row>
    <row r="86" spans="2:22" ht="30" customHeight="1">
      <c r="B86" s="80"/>
      <c r="C86" s="84">
        <v>6.6</v>
      </c>
      <c r="D86" s="95"/>
      <c r="E86" s="95"/>
      <c r="F86" s="95"/>
      <c r="G86" s="100" t="s">
        <v>88</v>
      </c>
      <c r="H86" s="95" t="s">
        <v>21</v>
      </c>
      <c r="I86" s="87">
        <v>598.1472</v>
      </c>
      <c r="J86" s="101">
        <v>170104</v>
      </c>
      <c r="K86" s="89">
        <f t="shared" si="43"/>
        <v>101747231.3088</v>
      </c>
      <c r="L86" s="896"/>
      <c r="M86" s="508">
        <f t="shared" si="44"/>
        <v>406.87919999999997</v>
      </c>
      <c r="N86" s="307">
        <f t="shared" si="45"/>
        <v>0</v>
      </c>
      <c r="O86" s="313">
        <f t="shared" si="46"/>
        <v>69211779.436799988</v>
      </c>
      <c r="P86" s="313">
        <f t="shared" si="47"/>
        <v>0</v>
      </c>
      <c r="Q86" s="313">
        <f t="shared" si="52"/>
        <v>69211779.436799988</v>
      </c>
      <c r="R86" s="295"/>
      <c r="S86" s="303">
        <f>+'MEMORIAS DE CANTIDADES'!L1482</f>
        <v>1005.0264</v>
      </c>
      <c r="T86" s="304">
        <f t="shared" si="49"/>
        <v>170104</v>
      </c>
      <c r="U86" s="501">
        <f t="shared" si="51"/>
        <v>170959010.74559999</v>
      </c>
      <c r="V86" s="148"/>
    </row>
    <row r="87" spans="2:22" ht="30" customHeight="1">
      <c r="B87" s="80"/>
      <c r="C87" s="84">
        <v>6.7</v>
      </c>
      <c r="D87" s="97"/>
      <c r="E87" s="85"/>
      <c r="F87" s="97"/>
      <c r="G87" s="98" t="s">
        <v>89</v>
      </c>
      <c r="H87" s="97" t="s">
        <v>21</v>
      </c>
      <c r="I87" s="87">
        <v>312.41999999999996</v>
      </c>
      <c r="J87" s="88">
        <v>113273</v>
      </c>
      <c r="K87" s="89">
        <f t="shared" si="43"/>
        <v>35388750.659999996</v>
      </c>
      <c r="L87" s="896"/>
      <c r="M87" s="508">
        <f t="shared" si="44"/>
        <v>16.400000000000034</v>
      </c>
      <c r="N87" s="307">
        <f t="shared" si="45"/>
        <v>0</v>
      </c>
      <c r="O87" s="313">
        <f t="shared" si="46"/>
        <v>1857677.2000000039</v>
      </c>
      <c r="P87" s="313">
        <f t="shared" si="47"/>
        <v>0</v>
      </c>
      <c r="Q87" s="313">
        <f t="shared" si="52"/>
        <v>1857677.2000000039</v>
      </c>
      <c r="R87" s="295"/>
      <c r="S87" s="303">
        <f>+'MEMORIAS DE CANTIDADES'!L1501</f>
        <v>328.82</v>
      </c>
      <c r="T87" s="304">
        <f t="shared" si="49"/>
        <v>113273</v>
      </c>
      <c r="U87" s="501">
        <f t="shared" si="51"/>
        <v>37246427.859999999</v>
      </c>
      <c r="V87" s="148"/>
    </row>
    <row r="88" spans="2:22" ht="30" customHeight="1">
      <c r="B88" s="80"/>
      <c r="C88" s="84">
        <v>6.8</v>
      </c>
      <c r="D88" s="97"/>
      <c r="E88" s="85"/>
      <c r="F88" s="97"/>
      <c r="G88" s="98" t="s">
        <v>49</v>
      </c>
      <c r="H88" s="97" t="s">
        <v>25</v>
      </c>
      <c r="I88" s="87">
        <v>16.780999999999999</v>
      </c>
      <c r="J88" s="88">
        <v>1547998</v>
      </c>
      <c r="K88" s="89">
        <f t="shared" si="43"/>
        <v>25976954.437999997</v>
      </c>
      <c r="L88" s="896"/>
      <c r="M88" s="508">
        <f t="shared" si="44"/>
        <v>7.7210000000000036</v>
      </c>
      <c r="N88" s="307">
        <f t="shared" si="45"/>
        <v>0</v>
      </c>
      <c r="O88" s="313">
        <f t="shared" si="46"/>
        <v>11952092.558000006</v>
      </c>
      <c r="P88" s="313">
        <f t="shared" si="47"/>
        <v>0</v>
      </c>
      <c r="Q88" s="313">
        <f t="shared" si="52"/>
        <v>11952092.558000006</v>
      </c>
      <c r="R88" s="295"/>
      <c r="S88" s="303">
        <f>+'MEMORIAS DE CANTIDADES'!L1514</f>
        <v>24.502000000000002</v>
      </c>
      <c r="T88" s="304">
        <f t="shared" si="49"/>
        <v>1547998</v>
      </c>
      <c r="U88" s="501">
        <f t="shared" si="51"/>
        <v>37929046.996000007</v>
      </c>
      <c r="V88" s="148"/>
    </row>
    <row r="89" spans="2:22" ht="30" customHeight="1">
      <c r="B89" s="80"/>
      <c r="C89" s="84">
        <v>6.9</v>
      </c>
      <c r="D89" s="97"/>
      <c r="E89" s="85"/>
      <c r="F89" s="97"/>
      <c r="G89" s="98" t="s">
        <v>90</v>
      </c>
      <c r="H89" s="97" t="s">
        <v>25</v>
      </c>
      <c r="I89" s="87">
        <v>40.92</v>
      </c>
      <c r="J89" s="88">
        <v>1302115</v>
      </c>
      <c r="K89" s="89">
        <f t="shared" si="43"/>
        <v>53282545.800000004</v>
      </c>
      <c r="L89" s="896"/>
      <c r="M89" s="508">
        <f t="shared" si="44"/>
        <v>31.010000000000019</v>
      </c>
      <c r="N89" s="307">
        <f t="shared" si="45"/>
        <v>0</v>
      </c>
      <c r="O89" s="313">
        <f t="shared" si="46"/>
        <v>40378586.150000028</v>
      </c>
      <c r="P89" s="313">
        <f t="shared" si="47"/>
        <v>0</v>
      </c>
      <c r="Q89" s="313">
        <f t="shared" si="52"/>
        <v>40378586.150000028</v>
      </c>
      <c r="R89" s="295"/>
      <c r="S89" s="303">
        <f>+'MEMORIAS DE CANTIDADES'!L1535</f>
        <v>71.930000000000021</v>
      </c>
      <c r="T89" s="304">
        <f t="shared" si="49"/>
        <v>1302115</v>
      </c>
      <c r="U89" s="501">
        <f t="shared" si="51"/>
        <v>93661131.950000033</v>
      </c>
      <c r="V89" s="148"/>
    </row>
    <row r="90" spans="2:22" ht="51.6" customHeight="1">
      <c r="B90" s="80"/>
      <c r="C90" s="90">
        <v>6.1</v>
      </c>
      <c r="D90" s="97"/>
      <c r="E90" s="85"/>
      <c r="F90" s="97"/>
      <c r="G90" s="98" t="s">
        <v>91</v>
      </c>
      <c r="H90" s="97" t="s">
        <v>65</v>
      </c>
      <c r="I90" s="87">
        <v>381</v>
      </c>
      <c r="J90" s="88">
        <v>609602</v>
      </c>
      <c r="K90" s="89">
        <f t="shared" si="43"/>
        <v>232258362</v>
      </c>
      <c r="L90" s="896"/>
      <c r="M90" s="508">
        <f t="shared" si="44"/>
        <v>0</v>
      </c>
      <c r="N90" s="307">
        <f t="shared" si="45"/>
        <v>381</v>
      </c>
      <c r="O90" s="313">
        <f t="shared" si="46"/>
        <v>0</v>
      </c>
      <c r="P90" s="313">
        <f t="shared" si="47"/>
        <v>232258362</v>
      </c>
      <c r="Q90" s="313">
        <f t="shared" si="52"/>
        <v>-232258362</v>
      </c>
      <c r="R90" s="295"/>
      <c r="S90" s="303">
        <v>0</v>
      </c>
      <c r="T90" s="304">
        <f t="shared" si="49"/>
        <v>609602</v>
      </c>
      <c r="U90" s="501">
        <f t="shared" si="51"/>
        <v>0</v>
      </c>
      <c r="V90" s="148"/>
    </row>
    <row r="91" spans="2:22" ht="97.15" customHeight="1">
      <c r="B91" s="80"/>
      <c r="C91" s="90">
        <v>6.11</v>
      </c>
      <c r="D91" s="97"/>
      <c r="E91" s="97"/>
      <c r="F91" s="97"/>
      <c r="G91" s="98" t="s">
        <v>92</v>
      </c>
      <c r="H91" s="102" t="s">
        <v>21</v>
      </c>
      <c r="I91" s="87">
        <v>1139.2</v>
      </c>
      <c r="J91" s="88">
        <v>452099</v>
      </c>
      <c r="K91" s="89">
        <f t="shared" si="43"/>
        <v>515031180.80000001</v>
      </c>
      <c r="L91" s="896"/>
      <c r="M91" s="508">
        <f t="shared" si="44"/>
        <v>1084.8</v>
      </c>
      <c r="N91" s="307">
        <f t="shared" si="45"/>
        <v>0</v>
      </c>
      <c r="O91" s="313">
        <f t="shared" si="46"/>
        <v>490436995.19999999</v>
      </c>
      <c r="P91" s="313">
        <f t="shared" si="47"/>
        <v>0</v>
      </c>
      <c r="Q91" s="313">
        <f t="shared" si="52"/>
        <v>490436995.19999999</v>
      </c>
      <c r="R91" s="295"/>
      <c r="S91" s="303">
        <f>+'MEMORIAS DE CANTIDADES'!L1566</f>
        <v>2224</v>
      </c>
      <c r="T91" s="304">
        <f t="shared" si="49"/>
        <v>452099</v>
      </c>
      <c r="U91" s="501">
        <f t="shared" si="51"/>
        <v>1005468176</v>
      </c>
      <c r="V91" s="152"/>
    </row>
    <row r="92" spans="2:22" ht="30" customHeight="1">
      <c r="B92" s="80"/>
      <c r="C92" s="90">
        <v>6.12</v>
      </c>
      <c r="D92" s="97"/>
      <c r="E92" s="97"/>
      <c r="F92" s="97"/>
      <c r="G92" s="98" t="s">
        <v>78</v>
      </c>
      <c r="H92" s="102" t="s">
        <v>21</v>
      </c>
      <c r="I92" s="87">
        <v>381</v>
      </c>
      <c r="J92" s="88">
        <v>41627</v>
      </c>
      <c r="K92" s="89">
        <f t="shared" si="43"/>
        <v>15859887</v>
      </c>
      <c r="L92" s="896"/>
      <c r="M92" s="508">
        <f t="shared" si="44"/>
        <v>1933.4479999999999</v>
      </c>
      <c r="N92" s="307">
        <f t="shared" si="45"/>
        <v>0</v>
      </c>
      <c r="O92" s="313">
        <f t="shared" si="46"/>
        <v>80483639.895999998</v>
      </c>
      <c r="P92" s="313">
        <f t="shared" si="47"/>
        <v>0</v>
      </c>
      <c r="Q92" s="313">
        <f t="shared" si="52"/>
        <v>80483639.895999998</v>
      </c>
      <c r="R92" s="295"/>
      <c r="S92" s="303">
        <f>+'MEMORIAS DE CANTIDADES'!L1583</f>
        <v>2314.4479999999999</v>
      </c>
      <c r="T92" s="304">
        <f t="shared" si="49"/>
        <v>41627</v>
      </c>
      <c r="U92" s="501">
        <f t="shared" si="51"/>
        <v>96343526.895999998</v>
      </c>
      <c r="V92" s="148"/>
    </row>
    <row r="93" spans="2:22" ht="30" customHeight="1">
      <c r="B93" s="80"/>
      <c r="C93" s="90">
        <v>6.13</v>
      </c>
      <c r="D93" s="97"/>
      <c r="E93" s="97"/>
      <c r="F93" s="97"/>
      <c r="G93" s="98" t="s">
        <v>93</v>
      </c>
      <c r="H93" s="102" t="s">
        <v>21</v>
      </c>
      <c r="I93" s="87">
        <v>2302.8000000000002</v>
      </c>
      <c r="J93" s="88">
        <v>16965</v>
      </c>
      <c r="K93" s="89">
        <f t="shared" si="43"/>
        <v>39067002</v>
      </c>
      <c r="L93" s="896"/>
      <c r="M93" s="508">
        <f t="shared" si="44"/>
        <v>0</v>
      </c>
      <c r="N93" s="307">
        <f t="shared" si="45"/>
        <v>353.91999999999985</v>
      </c>
      <c r="O93" s="313">
        <f t="shared" si="46"/>
        <v>0</v>
      </c>
      <c r="P93" s="313">
        <f t="shared" si="47"/>
        <v>6004252.799999997</v>
      </c>
      <c r="Q93" s="313">
        <f t="shared" si="52"/>
        <v>-6004252.799999997</v>
      </c>
      <c r="R93" s="295"/>
      <c r="S93" s="303">
        <f>+'MEMORIAS DE CANTIDADES'!L1600</f>
        <v>1948.8800000000003</v>
      </c>
      <c r="T93" s="304">
        <f t="shared" si="49"/>
        <v>16965</v>
      </c>
      <c r="U93" s="501">
        <f t="shared" si="51"/>
        <v>33062749.200000007</v>
      </c>
      <c r="V93" s="148"/>
    </row>
    <row r="94" spans="2:22" ht="30" customHeight="1">
      <c r="B94" s="80"/>
      <c r="C94" s="90">
        <v>6.14</v>
      </c>
      <c r="D94" s="97"/>
      <c r="E94" s="97"/>
      <c r="F94" s="97"/>
      <c r="G94" s="98" t="s">
        <v>94</v>
      </c>
      <c r="H94" s="102" t="s">
        <v>21</v>
      </c>
      <c r="I94" s="87">
        <v>42</v>
      </c>
      <c r="J94" s="88">
        <v>231275</v>
      </c>
      <c r="K94" s="89">
        <f t="shared" si="43"/>
        <v>9713550</v>
      </c>
      <c r="L94" s="896"/>
      <c r="M94" s="508">
        <f t="shared" si="44"/>
        <v>7</v>
      </c>
      <c r="N94" s="307">
        <f t="shared" si="45"/>
        <v>0</v>
      </c>
      <c r="O94" s="313">
        <f t="shared" si="46"/>
        <v>1618925</v>
      </c>
      <c r="P94" s="313">
        <f t="shared" si="47"/>
        <v>0</v>
      </c>
      <c r="Q94" s="313">
        <f t="shared" si="52"/>
        <v>1618925</v>
      </c>
      <c r="R94" s="295"/>
      <c r="S94" s="303">
        <f>7*3.5*2</f>
        <v>49</v>
      </c>
      <c r="T94" s="304">
        <f t="shared" si="49"/>
        <v>231275</v>
      </c>
      <c r="U94" s="501">
        <f t="shared" si="51"/>
        <v>11332475</v>
      </c>
      <c r="V94" s="148"/>
    </row>
    <row r="95" spans="2:22" ht="30" customHeight="1" thickBot="1">
      <c r="B95" s="80"/>
      <c r="C95" s="103" t="s">
        <v>8</v>
      </c>
      <c r="D95" s="592"/>
      <c r="E95" s="592"/>
      <c r="F95" s="592"/>
      <c r="G95" s="593"/>
      <c r="H95" s="592"/>
      <c r="I95" s="507"/>
      <c r="J95" s="104"/>
      <c r="K95" s="142">
        <f>SUM(K81:K94)</f>
        <v>1288930107.8340499</v>
      </c>
      <c r="L95" s="897"/>
      <c r="M95" s="307"/>
      <c r="N95" s="307"/>
      <c r="O95" s="318">
        <f>SUM(O81:O94)</f>
        <v>856608375.77305007</v>
      </c>
      <c r="P95" s="318">
        <f>SUM(P81:P94)</f>
        <v>383184225.46499997</v>
      </c>
      <c r="Q95" s="308">
        <f>SUM(Q81:Q94)</f>
        <v>473424150.30804998</v>
      </c>
      <c r="R95" s="295"/>
      <c r="S95" s="309"/>
      <c r="T95" s="309"/>
      <c r="U95" s="506">
        <f>SUM(U81:U94)</f>
        <v>1762354258.1421001</v>
      </c>
      <c r="V95" s="284"/>
    </row>
    <row r="96" spans="2:22" ht="30" customHeight="1" thickBot="1">
      <c r="B96" s="80"/>
      <c r="C96" s="886" t="s">
        <v>95</v>
      </c>
      <c r="D96" s="887"/>
      <c r="E96" s="887"/>
      <c r="F96" s="887"/>
      <c r="G96" s="887"/>
      <c r="H96" s="887"/>
      <c r="I96" s="887"/>
      <c r="J96" s="887"/>
      <c r="K96" s="887"/>
      <c r="L96" s="889"/>
      <c r="M96" s="920"/>
      <c r="N96" s="920"/>
      <c r="O96" s="920"/>
      <c r="P96" s="920"/>
      <c r="Q96" s="920"/>
      <c r="R96" s="589"/>
      <c r="S96" s="589"/>
      <c r="T96" s="589"/>
      <c r="U96" s="500"/>
      <c r="V96" s="148"/>
    </row>
    <row r="97" spans="2:22" ht="30" customHeight="1">
      <c r="B97" s="80"/>
      <c r="C97" s="84">
        <v>7.1</v>
      </c>
      <c r="D97" s="247"/>
      <c r="E97" s="247"/>
      <c r="F97" s="247"/>
      <c r="G97" s="258" t="s">
        <v>96</v>
      </c>
      <c r="H97" s="247" t="s">
        <v>21</v>
      </c>
      <c r="I97" s="249">
        <v>2789.4748</v>
      </c>
      <c r="J97" s="246">
        <v>328602</v>
      </c>
      <c r="K97" s="89">
        <f>I97*J97</f>
        <v>916626998.22959995</v>
      </c>
      <c r="L97" s="876"/>
      <c r="M97" s="508">
        <f>+IF(I97&lt;S97,S97-I97,0)</f>
        <v>0</v>
      </c>
      <c r="N97" s="307">
        <f>+IF(I97&gt;S97,-S97+I97,0)</f>
        <v>1179.3599999999999</v>
      </c>
      <c r="O97" s="313">
        <f>+M97*J97</f>
        <v>0</v>
      </c>
      <c r="P97" s="313">
        <f>+N97*J97</f>
        <v>387540054.71999997</v>
      </c>
      <c r="Q97" s="313">
        <f t="shared" ref="Q97:Q98" si="53">+O97-P97</f>
        <v>-387540054.71999997</v>
      </c>
      <c r="R97" s="869"/>
      <c r="S97" s="303">
        <f>+'MEMORIAS DE CANTIDADES'!L1619</f>
        <v>1610.1148000000001</v>
      </c>
      <c r="T97" s="304">
        <f>+J97</f>
        <v>328602</v>
      </c>
      <c r="U97" s="501">
        <f t="shared" ref="U97" si="54">+S97*T97</f>
        <v>529086943.50960004</v>
      </c>
      <c r="V97" s="284"/>
    </row>
    <row r="98" spans="2:22" ht="30" customHeight="1">
      <c r="B98" s="80"/>
      <c r="C98" s="84">
        <v>7.2</v>
      </c>
      <c r="D98" s="85"/>
      <c r="E98" s="85"/>
      <c r="F98" s="85"/>
      <c r="G98" s="94" t="s">
        <v>97</v>
      </c>
      <c r="H98" s="85" t="s">
        <v>21</v>
      </c>
      <c r="I98" s="87">
        <v>26</v>
      </c>
      <c r="J98" s="88">
        <v>165772</v>
      </c>
      <c r="K98" s="89">
        <f>I98*J98</f>
        <v>4310072</v>
      </c>
      <c r="L98" s="876"/>
      <c r="M98" s="508">
        <f>+IF(I98&lt;S98,S98-I98,0)</f>
        <v>0</v>
      </c>
      <c r="N98" s="307">
        <f>+IF(I98&gt;S98,-S98+I98,0)</f>
        <v>0</v>
      </c>
      <c r="O98" s="313">
        <f>+M98*J98</f>
        <v>0</v>
      </c>
      <c r="P98" s="313">
        <f>+N98*J98</f>
        <v>0</v>
      </c>
      <c r="Q98" s="313">
        <f t="shared" si="53"/>
        <v>0</v>
      </c>
      <c r="R98" s="869"/>
      <c r="S98" s="303">
        <f>+'MEMORIAS DE CANTIDADES'!L1632</f>
        <v>26</v>
      </c>
      <c r="T98" s="304">
        <f>+J98</f>
        <v>165772</v>
      </c>
      <c r="U98" s="501">
        <f t="shared" ref="U98:U99" si="55">+S98*T98</f>
        <v>4310072</v>
      </c>
      <c r="V98" s="284"/>
    </row>
    <row r="99" spans="2:22" ht="30" customHeight="1">
      <c r="B99" s="80"/>
      <c r="C99" s="84">
        <v>7.3</v>
      </c>
      <c r="D99" s="95"/>
      <c r="E99" s="95"/>
      <c r="F99" s="95"/>
      <c r="G99" s="96" t="s">
        <v>98</v>
      </c>
      <c r="H99" s="95" t="s">
        <v>21</v>
      </c>
      <c r="I99" s="87">
        <v>1127.75</v>
      </c>
      <c r="J99" s="88">
        <v>74227</v>
      </c>
      <c r="K99" s="89">
        <f>I99*J99</f>
        <v>83709499.25</v>
      </c>
      <c r="L99" s="876"/>
      <c r="M99" s="508">
        <f>+IF(I99&lt;S99,S99-I99,0)</f>
        <v>0</v>
      </c>
      <c r="N99" s="307">
        <f>+IF(I99&gt;S99,-S99+I99,0)</f>
        <v>454.15000000000009</v>
      </c>
      <c r="O99" s="313">
        <f>+M99*J99</f>
        <v>0</v>
      </c>
      <c r="P99" s="313">
        <f>+N99*J99</f>
        <v>33710192.050000004</v>
      </c>
      <c r="Q99" s="313">
        <f t="shared" ref="Q99" si="56">+O99-P99</f>
        <v>-33710192.050000004</v>
      </c>
      <c r="R99" s="869"/>
      <c r="S99" s="303">
        <f>+'MEMORIAS DE CANTIDADES'!L1644</f>
        <v>673.59999999999991</v>
      </c>
      <c r="T99" s="304">
        <f>+J99</f>
        <v>74227</v>
      </c>
      <c r="U99" s="501">
        <f t="shared" si="55"/>
        <v>49999307.199999996</v>
      </c>
      <c r="V99" s="284"/>
    </row>
    <row r="100" spans="2:22" ht="30" customHeight="1" thickBot="1">
      <c r="B100" s="80"/>
      <c r="C100" s="259" t="s">
        <v>8</v>
      </c>
      <c r="I100" s="507"/>
      <c r="K100" s="142">
        <f>SUM(K97:K99)</f>
        <v>1004646569.4796</v>
      </c>
      <c r="L100" s="876"/>
      <c r="M100" s="307"/>
      <c r="N100" s="307"/>
      <c r="O100" s="320">
        <f t="shared" ref="O100:P100" si="57">SUM(O97:O99)</f>
        <v>0</v>
      </c>
      <c r="P100" s="320">
        <f t="shared" si="57"/>
        <v>421250246.76999998</v>
      </c>
      <c r="Q100" s="320">
        <f>SUM(Q97:Q99)</f>
        <v>-421250246.76999998</v>
      </c>
      <c r="R100" s="869"/>
      <c r="S100" s="305"/>
      <c r="T100" s="305"/>
      <c r="U100" s="506">
        <f>SUM(U97:U99)</f>
        <v>583396322.70960009</v>
      </c>
      <c r="V100" s="284"/>
    </row>
    <row r="101" spans="2:22" ht="30" customHeight="1" thickBot="1">
      <c r="B101" s="80"/>
      <c r="C101" s="886" t="s">
        <v>99</v>
      </c>
      <c r="D101" s="887"/>
      <c r="E101" s="887"/>
      <c r="F101" s="887"/>
      <c r="G101" s="887"/>
      <c r="H101" s="887"/>
      <c r="I101" s="887"/>
      <c r="J101" s="887"/>
      <c r="K101" s="888"/>
      <c r="L101" s="889"/>
      <c r="M101" s="889"/>
      <c r="N101" s="889"/>
      <c r="O101" s="889"/>
      <c r="P101" s="889"/>
      <c r="Q101" s="889"/>
      <c r="R101" s="589"/>
      <c r="S101" s="589"/>
      <c r="T101" s="589"/>
      <c r="U101" s="500"/>
      <c r="V101" s="148"/>
    </row>
    <row r="102" spans="2:22" ht="30" customHeight="1">
      <c r="B102" s="80"/>
      <c r="C102" s="84">
        <v>8.1</v>
      </c>
      <c r="D102" s="251"/>
      <c r="E102" s="251"/>
      <c r="F102" s="251"/>
      <c r="G102" s="252" t="s">
        <v>20</v>
      </c>
      <c r="H102" s="251" t="s">
        <v>65</v>
      </c>
      <c r="I102" s="257">
        <v>2775.2</v>
      </c>
      <c r="J102" s="256">
        <v>2898</v>
      </c>
      <c r="K102" s="114">
        <f t="shared" ref="K102:K133" si="58">I102*J102</f>
        <v>8042529.5999999996</v>
      </c>
      <c r="L102" s="876"/>
      <c r="M102" s="307">
        <f t="shared" ref="M102:M133" si="59">+IF(I102&lt;S102,S102-I102,0)</f>
        <v>0</v>
      </c>
      <c r="N102" s="307">
        <f t="shared" ref="N102:N133" si="60">+IF(I102&gt;S102,-S102+I102,0)</f>
        <v>0</v>
      </c>
      <c r="O102" s="313">
        <f t="shared" ref="O102:O133" si="61">+M102*J102</f>
        <v>0</v>
      </c>
      <c r="P102" s="313">
        <f t="shared" ref="P102:P133" si="62">+N102*J102</f>
        <v>0</v>
      </c>
      <c r="Q102" s="313">
        <f t="shared" ref="Q102:Q104" si="63">+O102-P102</f>
        <v>0</v>
      </c>
      <c r="R102" s="872"/>
      <c r="S102" s="257">
        <v>2775.2</v>
      </c>
      <c r="T102" s="304">
        <f t="shared" ref="T102:T133" si="64">+J102</f>
        <v>2898</v>
      </c>
      <c r="U102" s="501">
        <f t="shared" ref="U102" si="65">+S102*T102</f>
        <v>8042529.5999999996</v>
      </c>
      <c r="V102" s="148"/>
    </row>
    <row r="103" spans="2:22" ht="48" customHeight="1">
      <c r="B103" s="80"/>
      <c r="C103" s="84">
        <v>8.1999999999999993</v>
      </c>
      <c r="D103" s="99"/>
      <c r="E103" s="99"/>
      <c r="F103" s="99"/>
      <c r="G103" s="98" t="s">
        <v>100</v>
      </c>
      <c r="H103" s="97" t="s">
        <v>25</v>
      </c>
      <c r="I103" s="254">
        <v>1062.3800000000001</v>
      </c>
      <c r="J103" s="114">
        <v>83705</v>
      </c>
      <c r="K103" s="114">
        <f t="shared" si="58"/>
        <v>88926517.900000006</v>
      </c>
      <c r="L103" s="876"/>
      <c r="M103" s="307">
        <f>+IF(I103&lt;S103,S103-I103,0)</f>
        <v>324</v>
      </c>
      <c r="N103" s="307">
        <f t="shared" si="60"/>
        <v>0</v>
      </c>
      <c r="O103" s="313">
        <f t="shared" si="61"/>
        <v>27120420</v>
      </c>
      <c r="P103" s="313">
        <f t="shared" si="62"/>
        <v>0</v>
      </c>
      <c r="Q103" s="313">
        <f t="shared" si="63"/>
        <v>27120420</v>
      </c>
      <c r="R103" s="872"/>
      <c r="S103" s="254">
        <f>1062.38+288+36</f>
        <v>1386.38</v>
      </c>
      <c r="T103" s="304">
        <f t="shared" si="64"/>
        <v>83705</v>
      </c>
      <c r="U103" s="501">
        <f t="shared" ref="U103:U166" si="66">+S103*T103</f>
        <v>116046937.90000001</v>
      </c>
      <c r="V103" s="148"/>
    </row>
    <row r="104" spans="2:22" ht="30" customHeight="1">
      <c r="B104" s="80"/>
      <c r="C104" s="84">
        <v>8.3000000000000007</v>
      </c>
      <c r="D104" s="97"/>
      <c r="E104" s="97"/>
      <c r="F104" s="97"/>
      <c r="G104" s="98" t="s">
        <v>101</v>
      </c>
      <c r="H104" s="97" t="s">
        <v>25</v>
      </c>
      <c r="I104" s="254">
        <v>257.14</v>
      </c>
      <c r="J104" s="114">
        <v>124019</v>
      </c>
      <c r="K104" s="114">
        <f t="shared" si="58"/>
        <v>31890245.66</v>
      </c>
      <c r="L104" s="876"/>
      <c r="M104" s="307">
        <f t="shared" si="59"/>
        <v>68</v>
      </c>
      <c r="N104" s="307">
        <f t="shared" si="60"/>
        <v>0</v>
      </c>
      <c r="O104" s="313">
        <f t="shared" si="61"/>
        <v>8433292</v>
      </c>
      <c r="P104" s="313">
        <f t="shared" si="62"/>
        <v>0</v>
      </c>
      <c r="Q104" s="313">
        <f t="shared" si="63"/>
        <v>8433292</v>
      </c>
      <c r="R104" s="872"/>
      <c r="S104" s="254">
        <f>257.14+68</f>
        <v>325.14</v>
      </c>
      <c r="T104" s="304">
        <f t="shared" si="64"/>
        <v>124019</v>
      </c>
      <c r="U104" s="501">
        <f t="shared" si="66"/>
        <v>40323537.659999996</v>
      </c>
      <c r="V104" s="148"/>
    </row>
    <row r="105" spans="2:22" ht="30" customHeight="1">
      <c r="B105" s="80"/>
      <c r="C105" s="84">
        <v>8.4</v>
      </c>
      <c r="D105" s="95"/>
      <c r="E105" s="95"/>
      <c r="F105" s="95"/>
      <c r="G105" s="100" t="s">
        <v>102</v>
      </c>
      <c r="H105" s="95" t="s">
        <v>25</v>
      </c>
      <c r="I105" s="254">
        <v>257.3</v>
      </c>
      <c r="J105" s="114">
        <v>24249</v>
      </c>
      <c r="K105" s="114">
        <f t="shared" si="58"/>
        <v>6239267.7000000002</v>
      </c>
      <c r="L105" s="876"/>
      <c r="M105" s="307">
        <f t="shared" si="59"/>
        <v>32</v>
      </c>
      <c r="N105" s="307">
        <f t="shared" si="60"/>
        <v>0</v>
      </c>
      <c r="O105" s="313">
        <f t="shared" si="61"/>
        <v>775968</v>
      </c>
      <c r="P105" s="313">
        <f t="shared" si="62"/>
        <v>0</v>
      </c>
      <c r="Q105" s="313">
        <f t="shared" ref="Q105:Q166" si="67">+O105-P105</f>
        <v>775968</v>
      </c>
      <c r="R105" s="872"/>
      <c r="S105" s="254">
        <f>257.3+32</f>
        <v>289.3</v>
      </c>
      <c r="T105" s="304">
        <f t="shared" si="64"/>
        <v>24249</v>
      </c>
      <c r="U105" s="501">
        <f t="shared" si="66"/>
        <v>7015235.7000000002</v>
      </c>
      <c r="V105" s="148"/>
    </row>
    <row r="106" spans="2:22" ht="30" customHeight="1">
      <c r="B106" s="80"/>
      <c r="C106" s="84">
        <v>8.5</v>
      </c>
      <c r="D106" s="97"/>
      <c r="E106" s="97"/>
      <c r="F106" s="97"/>
      <c r="G106" s="98" t="s">
        <v>103</v>
      </c>
      <c r="H106" s="97" t="s">
        <v>65</v>
      </c>
      <c r="I106" s="254">
        <v>248</v>
      </c>
      <c r="J106" s="248">
        <v>25020</v>
      </c>
      <c r="K106" s="114">
        <f t="shared" si="58"/>
        <v>6204960</v>
      </c>
      <c r="L106" s="876"/>
      <c r="M106" s="307">
        <f t="shared" si="59"/>
        <v>76</v>
      </c>
      <c r="N106" s="307">
        <f t="shared" si="60"/>
        <v>0</v>
      </c>
      <c r="O106" s="313">
        <f t="shared" si="61"/>
        <v>1901520</v>
      </c>
      <c r="P106" s="313">
        <f t="shared" si="62"/>
        <v>0</v>
      </c>
      <c r="Q106" s="313">
        <f t="shared" si="67"/>
        <v>1901520</v>
      </c>
      <c r="R106" s="872"/>
      <c r="S106" s="254">
        <v>324</v>
      </c>
      <c r="T106" s="304">
        <f t="shared" si="64"/>
        <v>25020</v>
      </c>
      <c r="U106" s="501">
        <f t="shared" si="66"/>
        <v>8106480</v>
      </c>
      <c r="V106" s="148"/>
    </row>
    <row r="107" spans="2:22" ht="30" customHeight="1">
      <c r="B107" s="80"/>
      <c r="C107" s="84">
        <v>8.6</v>
      </c>
      <c r="D107" s="95"/>
      <c r="E107" s="95"/>
      <c r="F107" s="95"/>
      <c r="G107" s="100" t="s">
        <v>104</v>
      </c>
      <c r="H107" s="95" t="s">
        <v>65</v>
      </c>
      <c r="I107" s="254">
        <v>256.89999999999998</v>
      </c>
      <c r="J107" s="248">
        <v>48983</v>
      </c>
      <c r="K107" s="114">
        <f t="shared" si="58"/>
        <v>12583732.699999999</v>
      </c>
      <c r="L107" s="876"/>
      <c r="M107" s="307">
        <f t="shared" si="59"/>
        <v>69.100000000000023</v>
      </c>
      <c r="N107" s="307">
        <f t="shared" si="60"/>
        <v>0</v>
      </c>
      <c r="O107" s="313">
        <f t="shared" si="61"/>
        <v>3384725.3000000012</v>
      </c>
      <c r="P107" s="313">
        <f t="shared" si="62"/>
        <v>0</v>
      </c>
      <c r="Q107" s="313">
        <f t="shared" si="67"/>
        <v>3384725.3000000012</v>
      </c>
      <c r="R107" s="872"/>
      <c r="S107" s="254">
        <v>326</v>
      </c>
      <c r="T107" s="304">
        <f t="shared" si="64"/>
        <v>48983</v>
      </c>
      <c r="U107" s="501">
        <f t="shared" si="66"/>
        <v>15968458</v>
      </c>
      <c r="V107" s="148"/>
    </row>
    <row r="108" spans="2:22" ht="37.15" customHeight="1">
      <c r="B108" s="80"/>
      <c r="C108" s="84">
        <v>8.6999999999999993</v>
      </c>
      <c r="D108" s="97"/>
      <c r="E108" s="85"/>
      <c r="F108" s="97"/>
      <c r="G108" s="98" t="s">
        <v>105</v>
      </c>
      <c r="H108" s="97" t="s">
        <v>65</v>
      </c>
      <c r="I108" s="254">
        <v>478.2</v>
      </c>
      <c r="J108" s="114">
        <v>61091</v>
      </c>
      <c r="K108" s="114">
        <f t="shared" si="58"/>
        <v>29213716.199999999</v>
      </c>
      <c r="L108" s="876"/>
      <c r="M108" s="307">
        <f t="shared" si="59"/>
        <v>200.00000000000006</v>
      </c>
      <c r="N108" s="307">
        <f t="shared" si="60"/>
        <v>0</v>
      </c>
      <c r="O108" s="313">
        <f t="shared" si="61"/>
        <v>12218200.000000004</v>
      </c>
      <c r="P108" s="313">
        <f t="shared" si="62"/>
        <v>0</v>
      </c>
      <c r="Q108" s="313">
        <f t="shared" si="67"/>
        <v>12218200.000000004</v>
      </c>
      <c r="R108" s="872"/>
      <c r="S108" s="254">
        <f>478.2+200</f>
        <v>678.2</v>
      </c>
      <c r="T108" s="304">
        <f t="shared" si="64"/>
        <v>61091</v>
      </c>
      <c r="U108" s="501">
        <f t="shared" si="66"/>
        <v>41431916.200000003</v>
      </c>
      <c r="V108" s="148"/>
    </row>
    <row r="109" spans="2:22" ht="30" customHeight="1">
      <c r="B109" s="80"/>
      <c r="C109" s="84">
        <v>8.8000000000000007</v>
      </c>
      <c r="D109" s="97"/>
      <c r="E109" s="85"/>
      <c r="F109" s="97"/>
      <c r="G109" s="98" t="s">
        <v>106</v>
      </c>
      <c r="H109" s="97" t="s">
        <v>65</v>
      </c>
      <c r="I109" s="254">
        <v>138</v>
      </c>
      <c r="J109" s="114">
        <v>29285</v>
      </c>
      <c r="K109" s="114">
        <f t="shared" si="58"/>
        <v>4041330</v>
      </c>
      <c r="L109" s="876"/>
      <c r="M109" s="307">
        <f t="shared" si="59"/>
        <v>49</v>
      </c>
      <c r="N109" s="307">
        <f t="shared" si="60"/>
        <v>0</v>
      </c>
      <c r="O109" s="313">
        <f t="shared" si="61"/>
        <v>1434965</v>
      </c>
      <c r="P109" s="313">
        <f t="shared" si="62"/>
        <v>0</v>
      </c>
      <c r="Q109" s="313">
        <f t="shared" si="67"/>
        <v>1434965</v>
      </c>
      <c r="R109" s="872"/>
      <c r="S109" s="254">
        <v>187</v>
      </c>
      <c r="T109" s="304">
        <f t="shared" si="64"/>
        <v>29285</v>
      </c>
      <c r="U109" s="501">
        <f t="shared" si="66"/>
        <v>5476295</v>
      </c>
      <c r="V109" s="148"/>
    </row>
    <row r="110" spans="2:22" ht="30" customHeight="1">
      <c r="B110" s="80"/>
      <c r="C110" s="84">
        <v>8.9</v>
      </c>
      <c r="D110" s="97"/>
      <c r="E110" s="85"/>
      <c r="F110" s="97"/>
      <c r="G110" s="98" t="s">
        <v>107</v>
      </c>
      <c r="H110" s="97" t="s">
        <v>29</v>
      </c>
      <c r="I110" s="254">
        <v>165</v>
      </c>
      <c r="J110" s="114">
        <v>22262</v>
      </c>
      <c r="K110" s="114">
        <f t="shared" si="58"/>
        <v>3673230</v>
      </c>
      <c r="L110" s="876"/>
      <c r="M110" s="307">
        <f t="shared" si="59"/>
        <v>0</v>
      </c>
      <c r="N110" s="307">
        <f t="shared" si="60"/>
        <v>0</v>
      </c>
      <c r="O110" s="313">
        <f t="shared" si="61"/>
        <v>0</v>
      </c>
      <c r="P110" s="313">
        <f t="shared" si="62"/>
        <v>0</v>
      </c>
      <c r="Q110" s="313">
        <f t="shared" si="67"/>
        <v>0</v>
      </c>
      <c r="R110" s="872"/>
      <c r="S110" s="254">
        <v>165</v>
      </c>
      <c r="T110" s="304">
        <f t="shared" si="64"/>
        <v>22262</v>
      </c>
      <c r="U110" s="501">
        <f t="shared" si="66"/>
        <v>3673230</v>
      </c>
      <c r="V110" s="148"/>
    </row>
    <row r="111" spans="2:22" ht="30" customHeight="1">
      <c r="B111" s="80"/>
      <c r="C111" s="90">
        <v>8.1</v>
      </c>
      <c r="D111" s="97"/>
      <c r="E111" s="85"/>
      <c r="F111" s="97"/>
      <c r="G111" s="98" t="s">
        <v>108</v>
      </c>
      <c r="H111" s="97" t="s">
        <v>29</v>
      </c>
      <c r="I111" s="254">
        <v>182</v>
      </c>
      <c r="J111" s="114">
        <v>18070</v>
      </c>
      <c r="K111" s="114">
        <f t="shared" si="58"/>
        <v>3288740</v>
      </c>
      <c r="L111" s="876"/>
      <c r="M111" s="307">
        <f t="shared" si="59"/>
        <v>0</v>
      </c>
      <c r="N111" s="307">
        <f t="shared" si="60"/>
        <v>0</v>
      </c>
      <c r="O111" s="313">
        <f t="shared" si="61"/>
        <v>0</v>
      </c>
      <c r="P111" s="313">
        <f t="shared" si="62"/>
        <v>0</v>
      </c>
      <c r="Q111" s="313">
        <f t="shared" si="67"/>
        <v>0</v>
      </c>
      <c r="R111" s="872"/>
      <c r="S111" s="254">
        <v>182</v>
      </c>
      <c r="T111" s="304">
        <f t="shared" si="64"/>
        <v>18070</v>
      </c>
      <c r="U111" s="501">
        <f t="shared" si="66"/>
        <v>3288740</v>
      </c>
      <c r="V111" s="148"/>
    </row>
    <row r="112" spans="2:22" ht="30" customHeight="1">
      <c r="B112" s="80"/>
      <c r="C112" s="90">
        <v>8.11</v>
      </c>
      <c r="D112" s="97"/>
      <c r="E112" s="97"/>
      <c r="F112" s="97"/>
      <c r="G112" s="98" t="s">
        <v>109</v>
      </c>
      <c r="H112" s="102" t="s">
        <v>29</v>
      </c>
      <c r="I112" s="254">
        <v>88</v>
      </c>
      <c r="J112" s="114">
        <v>33413</v>
      </c>
      <c r="K112" s="114">
        <f t="shared" si="58"/>
        <v>2940344</v>
      </c>
      <c r="L112" s="876"/>
      <c r="M112" s="307">
        <f t="shared" si="59"/>
        <v>0</v>
      </c>
      <c r="N112" s="307">
        <f t="shared" si="60"/>
        <v>0</v>
      </c>
      <c r="O112" s="313">
        <f t="shared" si="61"/>
        <v>0</v>
      </c>
      <c r="P112" s="313">
        <f t="shared" si="62"/>
        <v>0</v>
      </c>
      <c r="Q112" s="313">
        <f t="shared" si="67"/>
        <v>0</v>
      </c>
      <c r="R112" s="872"/>
      <c r="S112" s="254">
        <v>88</v>
      </c>
      <c r="T112" s="304">
        <f t="shared" si="64"/>
        <v>33413</v>
      </c>
      <c r="U112" s="501">
        <f t="shared" si="66"/>
        <v>2940344</v>
      </c>
      <c r="V112" s="148"/>
    </row>
    <row r="113" spans="2:22" ht="30" customHeight="1">
      <c r="B113" s="80"/>
      <c r="C113" s="90">
        <v>8.1199999999999992</v>
      </c>
      <c r="D113" s="97"/>
      <c r="E113" s="97"/>
      <c r="F113" s="97"/>
      <c r="G113" s="98" t="s">
        <v>110</v>
      </c>
      <c r="H113" s="102" t="s">
        <v>29</v>
      </c>
      <c r="I113" s="254">
        <v>76</v>
      </c>
      <c r="J113" s="114">
        <v>31430</v>
      </c>
      <c r="K113" s="114">
        <f t="shared" si="58"/>
        <v>2388680</v>
      </c>
      <c r="L113" s="876"/>
      <c r="M113" s="307">
        <f t="shared" si="59"/>
        <v>0</v>
      </c>
      <c r="N113" s="307">
        <f t="shared" si="60"/>
        <v>0</v>
      </c>
      <c r="O113" s="313">
        <f t="shared" si="61"/>
        <v>0</v>
      </c>
      <c r="P113" s="313">
        <f t="shared" si="62"/>
        <v>0</v>
      </c>
      <c r="Q113" s="313">
        <f t="shared" si="67"/>
        <v>0</v>
      </c>
      <c r="R113" s="872"/>
      <c r="S113" s="254">
        <v>76</v>
      </c>
      <c r="T113" s="304">
        <f t="shared" si="64"/>
        <v>31430</v>
      </c>
      <c r="U113" s="501">
        <f t="shared" si="66"/>
        <v>2388680</v>
      </c>
      <c r="V113" s="148"/>
    </row>
    <row r="114" spans="2:22" ht="30" customHeight="1">
      <c r="B114" s="80"/>
      <c r="C114" s="90">
        <v>8.1300000000000008</v>
      </c>
      <c r="D114" s="97"/>
      <c r="E114" s="97"/>
      <c r="F114" s="97"/>
      <c r="G114" s="98" t="s">
        <v>111</v>
      </c>
      <c r="H114" s="102" t="s">
        <v>29</v>
      </c>
      <c r="I114" s="254">
        <v>8</v>
      </c>
      <c r="J114" s="114">
        <v>26450</v>
      </c>
      <c r="K114" s="114">
        <f>I114*J114</f>
        <v>211600</v>
      </c>
      <c r="L114" s="876"/>
      <c r="M114" s="307">
        <f t="shared" si="59"/>
        <v>0</v>
      </c>
      <c r="N114" s="307">
        <f t="shared" si="60"/>
        <v>0</v>
      </c>
      <c r="O114" s="313">
        <f t="shared" si="61"/>
        <v>0</v>
      </c>
      <c r="P114" s="313">
        <f t="shared" si="62"/>
        <v>0</v>
      </c>
      <c r="Q114" s="313">
        <f t="shared" si="67"/>
        <v>0</v>
      </c>
      <c r="R114" s="872"/>
      <c r="S114" s="254">
        <v>8</v>
      </c>
      <c r="T114" s="304">
        <f t="shared" si="64"/>
        <v>26450</v>
      </c>
      <c r="U114" s="501">
        <f t="shared" si="66"/>
        <v>211600</v>
      </c>
      <c r="V114" s="148"/>
    </row>
    <row r="115" spans="2:22" ht="30" customHeight="1">
      <c r="B115" s="80"/>
      <c r="C115" s="90">
        <v>8.14</v>
      </c>
      <c r="D115" s="97"/>
      <c r="E115" s="97"/>
      <c r="F115" s="97"/>
      <c r="G115" s="98" t="s">
        <v>112</v>
      </c>
      <c r="H115" s="102" t="s">
        <v>29</v>
      </c>
      <c r="I115" s="254">
        <v>78</v>
      </c>
      <c r="J115" s="114">
        <v>25449</v>
      </c>
      <c r="K115" s="114">
        <f t="shared" si="58"/>
        <v>1985022</v>
      </c>
      <c r="L115" s="876"/>
      <c r="M115" s="307">
        <f t="shared" si="59"/>
        <v>0</v>
      </c>
      <c r="N115" s="307">
        <f t="shared" si="60"/>
        <v>0</v>
      </c>
      <c r="O115" s="313">
        <f t="shared" si="61"/>
        <v>0</v>
      </c>
      <c r="P115" s="313">
        <f t="shared" si="62"/>
        <v>0</v>
      </c>
      <c r="Q115" s="313">
        <f t="shared" si="67"/>
        <v>0</v>
      </c>
      <c r="R115" s="872"/>
      <c r="S115" s="254">
        <v>78</v>
      </c>
      <c r="T115" s="304">
        <f t="shared" si="64"/>
        <v>25449</v>
      </c>
      <c r="U115" s="501">
        <f t="shared" si="66"/>
        <v>1985022</v>
      </c>
      <c r="V115" s="148"/>
    </row>
    <row r="116" spans="2:22" ht="30" customHeight="1">
      <c r="B116" s="80"/>
      <c r="C116" s="90">
        <v>8.15</v>
      </c>
      <c r="D116" s="97"/>
      <c r="E116" s="97"/>
      <c r="F116" s="97"/>
      <c r="G116" s="98" t="s">
        <v>113</v>
      </c>
      <c r="H116" s="102" t="s">
        <v>29</v>
      </c>
      <c r="I116" s="254">
        <v>14</v>
      </c>
      <c r="J116" s="114">
        <v>12813</v>
      </c>
      <c r="K116" s="114">
        <f t="shared" si="58"/>
        <v>179382</v>
      </c>
      <c r="L116" s="876"/>
      <c r="M116" s="307">
        <f t="shared" si="59"/>
        <v>0</v>
      </c>
      <c r="N116" s="307">
        <f t="shared" si="60"/>
        <v>0</v>
      </c>
      <c r="O116" s="313">
        <f t="shared" si="61"/>
        <v>0</v>
      </c>
      <c r="P116" s="313">
        <f t="shared" si="62"/>
        <v>0</v>
      </c>
      <c r="Q116" s="313">
        <f t="shared" si="67"/>
        <v>0</v>
      </c>
      <c r="R116" s="872"/>
      <c r="S116" s="254">
        <v>14</v>
      </c>
      <c r="T116" s="304">
        <f t="shared" si="64"/>
        <v>12813</v>
      </c>
      <c r="U116" s="501">
        <f t="shared" si="66"/>
        <v>179382</v>
      </c>
      <c r="V116" s="148"/>
    </row>
    <row r="117" spans="2:22" ht="30" customHeight="1">
      <c r="B117" s="80"/>
      <c r="C117" s="90">
        <v>8.1600000000000108</v>
      </c>
      <c r="D117" s="97"/>
      <c r="E117" s="97"/>
      <c r="F117" s="97"/>
      <c r="G117" s="98" t="s">
        <v>114</v>
      </c>
      <c r="H117" s="102" t="s">
        <v>29</v>
      </c>
      <c r="I117" s="254">
        <v>5</v>
      </c>
      <c r="J117" s="114">
        <v>12813</v>
      </c>
      <c r="K117" s="114">
        <f t="shared" si="58"/>
        <v>64065</v>
      </c>
      <c r="L117" s="876"/>
      <c r="M117" s="307">
        <f t="shared" si="59"/>
        <v>0</v>
      </c>
      <c r="N117" s="307">
        <f t="shared" si="60"/>
        <v>0</v>
      </c>
      <c r="O117" s="313">
        <f t="shared" si="61"/>
        <v>0</v>
      </c>
      <c r="P117" s="313">
        <f t="shared" si="62"/>
        <v>0</v>
      </c>
      <c r="Q117" s="313">
        <f t="shared" si="67"/>
        <v>0</v>
      </c>
      <c r="R117" s="872"/>
      <c r="S117" s="254">
        <v>5</v>
      </c>
      <c r="T117" s="304">
        <f t="shared" si="64"/>
        <v>12813</v>
      </c>
      <c r="U117" s="501">
        <f t="shared" si="66"/>
        <v>64065</v>
      </c>
      <c r="V117" s="148"/>
    </row>
    <row r="118" spans="2:22" ht="30" customHeight="1">
      <c r="B118" s="80"/>
      <c r="C118" s="90">
        <v>8.1700000000000106</v>
      </c>
      <c r="D118" s="97"/>
      <c r="E118" s="97"/>
      <c r="F118" s="97"/>
      <c r="G118" s="98" t="s">
        <v>115</v>
      </c>
      <c r="H118" s="102" t="s">
        <v>29</v>
      </c>
      <c r="I118" s="254">
        <v>99</v>
      </c>
      <c r="J118" s="114">
        <v>24992</v>
      </c>
      <c r="K118" s="114">
        <f t="shared" si="58"/>
        <v>2474208</v>
      </c>
      <c r="L118" s="876"/>
      <c r="M118" s="307">
        <f t="shared" si="59"/>
        <v>0</v>
      </c>
      <c r="N118" s="307">
        <f t="shared" si="60"/>
        <v>0</v>
      </c>
      <c r="O118" s="313">
        <f t="shared" si="61"/>
        <v>0</v>
      </c>
      <c r="P118" s="313">
        <f t="shared" si="62"/>
        <v>0</v>
      </c>
      <c r="Q118" s="313">
        <f t="shared" si="67"/>
        <v>0</v>
      </c>
      <c r="R118" s="872"/>
      <c r="S118" s="254">
        <v>99</v>
      </c>
      <c r="T118" s="304">
        <f t="shared" si="64"/>
        <v>24992</v>
      </c>
      <c r="U118" s="501">
        <f t="shared" si="66"/>
        <v>2474208</v>
      </c>
      <c r="V118" s="148"/>
    </row>
    <row r="119" spans="2:22" ht="30" customHeight="1">
      <c r="B119" s="80"/>
      <c r="C119" s="90">
        <v>8.1800000000000104</v>
      </c>
      <c r="D119" s="97"/>
      <c r="E119" s="97"/>
      <c r="F119" s="97"/>
      <c r="G119" s="98" t="s">
        <v>116</v>
      </c>
      <c r="H119" s="102" t="s">
        <v>29</v>
      </c>
      <c r="I119" s="254">
        <v>102</v>
      </c>
      <c r="J119" s="114">
        <v>46431</v>
      </c>
      <c r="K119" s="114">
        <f t="shared" si="58"/>
        <v>4735962</v>
      </c>
      <c r="L119" s="876"/>
      <c r="M119" s="307">
        <f t="shared" si="59"/>
        <v>0</v>
      </c>
      <c r="N119" s="307">
        <f t="shared" si="60"/>
        <v>0</v>
      </c>
      <c r="O119" s="313">
        <f t="shared" si="61"/>
        <v>0</v>
      </c>
      <c r="P119" s="313">
        <f t="shared" si="62"/>
        <v>0</v>
      </c>
      <c r="Q119" s="313">
        <f t="shared" si="67"/>
        <v>0</v>
      </c>
      <c r="R119" s="872"/>
      <c r="S119" s="254">
        <v>102</v>
      </c>
      <c r="T119" s="304">
        <f t="shared" si="64"/>
        <v>46431</v>
      </c>
      <c r="U119" s="501">
        <f t="shared" si="66"/>
        <v>4735962</v>
      </c>
      <c r="V119" s="148"/>
    </row>
    <row r="120" spans="2:22" ht="30" customHeight="1">
      <c r="B120" s="80"/>
      <c r="C120" s="90">
        <v>8.1900000000000102</v>
      </c>
      <c r="D120" s="97"/>
      <c r="E120" s="97"/>
      <c r="F120" s="97"/>
      <c r="G120" s="98" t="s">
        <v>117</v>
      </c>
      <c r="H120" s="102" t="s">
        <v>29</v>
      </c>
      <c r="I120" s="254">
        <v>71</v>
      </c>
      <c r="J120" s="114">
        <v>47540</v>
      </c>
      <c r="K120" s="114">
        <f t="shared" si="58"/>
        <v>3375340</v>
      </c>
      <c r="L120" s="876"/>
      <c r="M120" s="307">
        <f t="shared" si="59"/>
        <v>0</v>
      </c>
      <c r="N120" s="307">
        <f t="shared" si="60"/>
        <v>0</v>
      </c>
      <c r="O120" s="313">
        <f t="shared" si="61"/>
        <v>0</v>
      </c>
      <c r="P120" s="313">
        <f t="shared" si="62"/>
        <v>0</v>
      </c>
      <c r="Q120" s="313">
        <f t="shared" si="67"/>
        <v>0</v>
      </c>
      <c r="R120" s="872"/>
      <c r="S120" s="254">
        <v>71</v>
      </c>
      <c r="T120" s="304">
        <f t="shared" si="64"/>
        <v>47540</v>
      </c>
      <c r="U120" s="501">
        <f t="shared" si="66"/>
        <v>3375340</v>
      </c>
      <c r="V120" s="148"/>
    </row>
    <row r="121" spans="2:22" ht="30" customHeight="1">
      <c r="B121" s="80"/>
      <c r="C121" s="90">
        <v>8.2000000000000099</v>
      </c>
      <c r="D121" s="97"/>
      <c r="E121" s="97"/>
      <c r="F121" s="97"/>
      <c r="G121" s="98" t="s">
        <v>118</v>
      </c>
      <c r="H121" s="102" t="s">
        <v>29</v>
      </c>
      <c r="I121" s="254">
        <v>35</v>
      </c>
      <c r="J121" s="114">
        <v>20313</v>
      </c>
      <c r="K121" s="114">
        <f t="shared" si="58"/>
        <v>710955</v>
      </c>
      <c r="L121" s="876"/>
      <c r="M121" s="307">
        <f t="shared" si="59"/>
        <v>0</v>
      </c>
      <c r="N121" s="307">
        <f t="shared" si="60"/>
        <v>0</v>
      </c>
      <c r="O121" s="313">
        <f t="shared" si="61"/>
        <v>0</v>
      </c>
      <c r="P121" s="313">
        <f t="shared" si="62"/>
        <v>0</v>
      </c>
      <c r="Q121" s="313">
        <f t="shared" si="67"/>
        <v>0</v>
      </c>
      <c r="R121" s="872"/>
      <c r="S121" s="254">
        <v>35</v>
      </c>
      <c r="T121" s="304">
        <f t="shared" si="64"/>
        <v>20313</v>
      </c>
      <c r="U121" s="501">
        <f t="shared" si="66"/>
        <v>710955</v>
      </c>
      <c r="V121" s="148"/>
    </row>
    <row r="122" spans="2:22" ht="30" customHeight="1">
      <c r="B122" s="80"/>
      <c r="C122" s="90">
        <v>8.2100000000000097</v>
      </c>
      <c r="D122" s="97"/>
      <c r="E122" s="97"/>
      <c r="F122" s="97"/>
      <c r="G122" s="98" t="s">
        <v>119</v>
      </c>
      <c r="H122" s="102" t="s">
        <v>29</v>
      </c>
      <c r="I122" s="254">
        <v>31</v>
      </c>
      <c r="J122" s="114">
        <v>899855</v>
      </c>
      <c r="K122" s="114">
        <f t="shared" si="58"/>
        <v>27895505</v>
      </c>
      <c r="L122" s="876"/>
      <c r="M122" s="307">
        <f>+IF(I122&lt;S122,S122-I122,0)</f>
        <v>8</v>
      </c>
      <c r="N122" s="307">
        <f t="shared" si="60"/>
        <v>0</v>
      </c>
      <c r="O122" s="313">
        <f t="shared" si="61"/>
        <v>7198840</v>
      </c>
      <c r="P122" s="313">
        <f t="shared" si="62"/>
        <v>0</v>
      </c>
      <c r="Q122" s="313">
        <f t="shared" si="67"/>
        <v>7198840</v>
      </c>
      <c r="R122" s="872"/>
      <c r="S122" s="254">
        <f>31+8</f>
        <v>39</v>
      </c>
      <c r="T122" s="304">
        <f t="shared" si="64"/>
        <v>899855</v>
      </c>
      <c r="U122" s="501">
        <f t="shared" si="66"/>
        <v>35094345</v>
      </c>
      <c r="V122" s="148"/>
    </row>
    <row r="123" spans="2:22" ht="30" customHeight="1">
      <c r="B123" s="80"/>
      <c r="C123" s="90">
        <v>8.2200000000000095</v>
      </c>
      <c r="D123" s="97"/>
      <c r="E123" s="97"/>
      <c r="F123" s="97"/>
      <c r="G123" s="98" t="s">
        <v>120</v>
      </c>
      <c r="H123" s="102" t="s">
        <v>65</v>
      </c>
      <c r="I123" s="254">
        <v>492.3</v>
      </c>
      <c r="J123" s="114">
        <v>9594</v>
      </c>
      <c r="K123" s="114">
        <f t="shared" si="58"/>
        <v>4723126.2</v>
      </c>
      <c r="L123" s="876"/>
      <c r="M123" s="307">
        <f t="shared" si="59"/>
        <v>0</v>
      </c>
      <c r="N123" s="307">
        <f t="shared" si="60"/>
        <v>132</v>
      </c>
      <c r="O123" s="313">
        <f t="shared" si="61"/>
        <v>0</v>
      </c>
      <c r="P123" s="313">
        <f t="shared" si="62"/>
        <v>1266408</v>
      </c>
      <c r="Q123" s="313">
        <f t="shared" si="67"/>
        <v>-1266408</v>
      </c>
      <c r="R123" s="872"/>
      <c r="S123" s="254">
        <f>492.3-132</f>
        <v>360.3</v>
      </c>
      <c r="T123" s="304">
        <f t="shared" si="64"/>
        <v>9594</v>
      </c>
      <c r="U123" s="501">
        <f t="shared" si="66"/>
        <v>3456718.2</v>
      </c>
      <c r="V123" s="148"/>
    </row>
    <row r="124" spans="2:22" ht="30" customHeight="1">
      <c r="B124" s="80"/>
      <c r="C124" s="90">
        <v>8.23000000000002</v>
      </c>
      <c r="D124" s="97"/>
      <c r="E124" s="97"/>
      <c r="F124" s="97"/>
      <c r="G124" s="98" t="s">
        <v>121</v>
      </c>
      <c r="H124" s="102" t="s">
        <v>65</v>
      </c>
      <c r="I124" s="254">
        <v>88.2</v>
      </c>
      <c r="J124" s="114">
        <v>9630</v>
      </c>
      <c r="K124" s="114">
        <f t="shared" si="58"/>
        <v>849366</v>
      </c>
      <c r="L124" s="876"/>
      <c r="M124" s="307">
        <f t="shared" si="59"/>
        <v>125.99999999999999</v>
      </c>
      <c r="N124" s="307">
        <f t="shared" si="60"/>
        <v>0</v>
      </c>
      <c r="O124" s="313">
        <f t="shared" si="61"/>
        <v>1213379.9999999998</v>
      </c>
      <c r="P124" s="313">
        <f t="shared" si="62"/>
        <v>0</v>
      </c>
      <c r="Q124" s="313">
        <f t="shared" si="67"/>
        <v>1213379.9999999998</v>
      </c>
      <c r="R124" s="872"/>
      <c r="S124" s="254">
        <f>88.2+126</f>
        <v>214.2</v>
      </c>
      <c r="T124" s="304">
        <f t="shared" si="64"/>
        <v>9630</v>
      </c>
      <c r="U124" s="501">
        <f t="shared" si="66"/>
        <v>2062746</v>
      </c>
      <c r="V124" s="148"/>
    </row>
    <row r="125" spans="2:22" ht="30" customHeight="1">
      <c r="B125" s="80"/>
      <c r="C125" s="90">
        <v>8.2400000000000198</v>
      </c>
      <c r="D125" s="97"/>
      <c r="E125" s="97"/>
      <c r="F125" s="97"/>
      <c r="G125" s="98" t="s">
        <v>122</v>
      </c>
      <c r="H125" s="102" t="s">
        <v>65</v>
      </c>
      <c r="I125" s="254">
        <v>391.9</v>
      </c>
      <c r="J125" s="114">
        <v>18762</v>
      </c>
      <c r="K125" s="114">
        <f t="shared" si="58"/>
        <v>7352827.7999999998</v>
      </c>
      <c r="L125" s="876"/>
      <c r="M125" s="307">
        <f t="shared" si="59"/>
        <v>60</v>
      </c>
      <c r="N125" s="307">
        <f t="shared" si="60"/>
        <v>0</v>
      </c>
      <c r="O125" s="313">
        <f t="shared" si="61"/>
        <v>1125720</v>
      </c>
      <c r="P125" s="313">
        <f t="shared" si="62"/>
        <v>0</v>
      </c>
      <c r="Q125" s="313">
        <f t="shared" si="67"/>
        <v>1125720</v>
      </c>
      <c r="R125" s="872"/>
      <c r="S125" s="254">
        <f>391.9+60</f>
        <v>451.9</v>
      </c>
      <c r="T125" s="304">
        <f t="shared" si="64"/>
        <v>18762</v>
      </c>
      <c r="U125" s="501">
        <f t="shared" si="66"/>
        <v>8478547.7999999989</v>
      </c>
      <c r="V125" s="148"/>
    </row>
    <row r="126" spans="2:22" ht="30" customHeight="1">
      <c r="B126" s="80"/>
      <c r="C126" s="90">
        <v>8.2500000000000195</v>
      </c>
      <c r="D126" s="97"/>
      <c r="E126" s="97"/>
      <c r="F126" s="97"/>
      <c r="G126" s="98" t="s">
        <v>123</v>
      </c>
      <c r="H126" s="102" t="s">
        <v>65</v>
      </c>
      <c r="I126" s="254">
        <v>158.80000000000001</v>
      </c>
      <c r="J126" s="114">
        <v>29054</v>
      </c>
      <c r="K126" s="114">
        <f t="shared" si="58"/>
        <v>4613775.2</v>
      </c>
      <c r="L126" s="876"/>
      <c r="M126" s="307">
        <f t="shared" si="59"/>
        <v>60</v>
      </c>
      <c r="N126" s="307">
        <f t="shared" si="60"/>
        <v>0</v>
      </c>
      <c r="O126" s="313">
        <f t="shared" si="61"/>
        <v>1743240</v>
      </c>
      <c r="P126" s="313">
        <f t="shared" si="62"/>
        <v>0</v>
      </c>
      <c r="Q126" s="313">
        <f t="shared" si="67"/>
        <v>1743240</v>
      </c>
      <c r="R126" s="872"/>
      <c r="S126" s="254">
        <f>158.8+60</f>
        <v>218.8</v>
      </c>
      <c r="T126" s="304">
        <f t="shared" si="64"/>
        <v>29054</v>
      </c>
      <c r="U126" s="501">
        <f t="shared" si="66"/>
        <v>6357015.2000000002</v>
      </c>
      <c r="V126" s="148"/>
    </row>
    <row r="127" spans="2:22" ht="30" customHeight="1">
      <c r="B127" s="80"/>
      <c r="C127" s="90">
        <v>8.2600000000000193</v>
      </c>
      <c r="D127" s="97"/>
      <c r="E127" s="97"/>
      <c r="F127" s="97"/>
      <c r="G127" s="98" t="s">
        <v>124</v>
      </c>
      <c r="H127" s="102" t="s">
        <v>65</v>
      </c>
      <c r="I127" s="254">
        <v>78.2</v>
      </c>
      <c r="J127" s="114">
        <v>34335</v>
      </c>
      <c r="K127" s="114">
        <f t="shared" si="58"/>
        <v>2684997</v>
      </c>
      <c r="L127" s="876"/>
      <c r="M127" s="307">
        <f t="shared" si="59"/>
        <v>47.8</v>
      </c>
      <c r="N127" s="307">
        <f t="shared" si="60"/>
        <v>0</v>
      </c>
      <c r="O127" s="313">
        <f t="shared" si="61"/>
        <v>1641213</v>
      </c>
      <c r="P127" s="313">
        <f t="shared" si="62"/>
        <v>0</v>
      </c>
      <c r="Q127" s="313">
        <f t="shared" si="67"/>
        <v>1641213</v>
      </c>
      <c r="R127" s="872"/>
      <c r="S127" s="254">
        <v>126</v>
      </c>
      <c r="T127" s="304">
        <f t="shared" si="64"/>
        <v>34335</v>
      </c>
      <c r="U127" s="501">
        <f t="shared" si="66"/>
        <v>4326210</v>
      </c>
      <c r="V127" s="148"/>
    </row>
    <row r="128" spans="2:22" ht="30" customHeight="1">
      <c r="B128" s="80"/>
      <c r="C128" s="90">
        <v>8.2700000000000191</v>
      </c>
      <c r="D128" s="97"/>
      <c r="E128" s="97"/>
      <c r="F128" s="97"/>
      <c r="G128" s="98" t="s">
        <v>125</v>
      </c>
      <c r="H128" s="102" t="s">
        <v>65</v>
      </c>
      <c r="I128" s="254">
        <v>8.4</v>
      </c>
      <c r="J128" s="114">
        <v>48353</v>
      </c>
      <c r="K128" s="114">
        <f t="shared" si="58"/>
        <v>406165.2</v>
      </c>
      <c r="L128" s="876"/>
      <c r="M128" s="307">
        <f t="shared" si="59"/>
        <v>43.6</v>
      </c>
      <c r="N128" s="307">
        <f t="shared" si="60"/>
        <v>0</v>
      </c>
      <c r="O128" s="313">
        <f t="shared" si="61"/>
        <v>2108190.8000000003</v>
      </c>
      <c r="P128" s="313">
        <f t="shared" si="62"/>
        <v>0</v>
      </c>
      <c r="Q128" s="313">
        <f t="shared" si="67"/>
        <v>2108190.8000000003</v>
      </c>
      <c r="R128" s="872"/>
      <c r="S128" s="254">
        <v>52</v>
      </c>
      <c r="T128" s="304">
        <f t="shared" si="64"/>
        <v>48353</v>
      </c>
      <c r="U128" s="501">
        <f t="shared" si="66"/>
        <v>2514356</v>
      </c>
      <c r="V128" s="148"/>
    </row>
    <row r="129" spans="2:22" ht="30" customHeight="1">
      <c r="B129" s="80"/>
      <c r="C129" s="90">
        <v>8.2800000000000207</v>
      </c>
      <c r="D129" s="97"/>
      <c r="E129" s="97"/>
      <c r="F129" s="97"/>
      <c r="G129" s="98" t="s">
        <v>126</v>
      </c>
      <c r="H129" s="102" t="s">
        <v>29</v>
      </c>
      <c r="I129" s="254">
        <v>495</v>
      </c>
      <c r="J129" s="114">
        <v>2413</v>
      </c>
      <c r="K129" s="114">
        <f t="shared" si="58"/>
        <v>1194435</v>
      </c>
      <c r="L129" s="876"/>
      <c r="M129" s="307">
        <f t="shared" si="59"/>
        <v>0</v>
      </c>
      <c r="N129" s="307">
        <f t="shared" si="60"/>
        <v>0</v>
      </c>
      <c r="O129" s="313">
        <f t="shared" si="61"/>
        <v>0</v>
      </c>
      <c r="P129" s="313">
        <f t="shared" si="62"/>
        <v>0</v>
      </c>
      <c r="Q129" s="313">
        <f t="shared" si="67"/>
        <v>0</v>
      </c>
      <c r="R129" s="872"/>
      <c r="S129" s="254">
        <v>495</v>
      </c>
      <c r="T129" s="304">
        <f t="shared" si="64"/>
        <v>2413</v>
      </c>
      <c r="U129" s="501">
        <f t="shared" si="66"/>
        <v>1194435</v>
      </c>
      <c r="V129" s="148"/>
    </row>
    <row r="130" spans="2:22" ht="30" customHeight="1">
      <c r="B130" s="80"/>
      <c r="C130" s="90">
        <v>8.2900000000000293</v>
      </c>
      <c r="D130" s="97"/>
      <c r="E130" s="97"/>
      <c r="F130" s="97"/>
      <c r="G130" s="98" t="s">
        <v>127</v>
      </c>
      <c r="H130" s="102" t="s">
        <v>29</v>
      </c>
      <c r="I130" s="254">
        <v>35</v>
      </c>
      <c r="J130" s="114">
        <v>4594</v>
      </c>
      <c r="K130" s="114">
        <f t="shared" si="58"/>
        <v>160790</v>
      </c>
      <c r="L130" s="876"/>
      <c r="M130" s="307">
        <f t="shared" si="59"/>
        <v>0</v>
      </c>
      <c r="N130" s="307">
        <f t="shared" si="60"/>
        <v>0</v>
      </c>
      <c r="O130" s="313">
        <f t="shared" si="61"/>
        <v>0</v>
      </c>
      <c r="P130" s="313">
        <f t="shared" si="62"/>
        <v>0</v>
      </c>
      <c r="Q130" s="313">
        <f t="shared" si="67"/>
        <v>0</v>
      </c>
      <c r="R130" s="872"/>
      <c r="S130" s="254">
        <v>35</v>
      </c>
      <c r="T130" s="304">
        <f t="shared" si="64"/>
        <v>4594</v>
      </c>
      <c r="U130" s="501">
        <f t="shared" si="66"/>
        <v>160790</v>
      </c>
      <c r="V130" s="148"/>
    </row>
    <row r="131" spans="2:22" ht="30" customHeight="1">
      <c r="B131" s="80"/>
      <c r="C131" s="90">
        <v>8.3000000000000291</v>
      </c>
      <c r="D131" s="97"/>
      <c r="E131" s="97"/>
      <c r="F131" s="97"/>
      <c r="G131" s="98" t="s">
        <v>128</v>
      </c>
      <c r="H131" s="102" t="s">
        <v>29</v>
      </c>
      <c r="I131" s="254">
        <v>106</v>
      </c>
      <c r="J131" s="114">
        <v>2795</v>
      </c>
      <c r="K131" s="114">
        <f t="shared" si="58"/>
        <v>296270</v>
      </c>
      <c r="L131" s="876"/>
      <c r="M131" s="307">
        <f t="shared" si="59"/>
        <v>0</v>
      </c>
      <c r="N131" s="307">
        <f t="shared" si="60"/>
        <v>0</v>
      </c>
      <c r="O131" s="313">
        <f t="shared" si="61"/>
        <v>0</v>
      </c>
      <c r="P131" s="313">
        <f t="shared" si="62"/>
        <v>0</v>
      </c>
      <c r="Q131" s="313">
        <f t="shared" si="67"/>
        <v>0</v>
      </c>
      <c r="R131" s="872"/>
      <c r="S131" s="254">
        <v>106</v>
      </c>
      <c r="T131" s="304">
        <f t="shared" si="64"/>
        <v>2795</v>
      </c>
      <c r="U131" s="501">
        <f t="shared" si="66"/>
        <v>296270</v>
      </c>
      <c r="V131" s="148"/>
    </row>
    <row r="132" spans="2:22" ht="30" customHeight="1">
      <c r="B132" s="80"/>
      <c r="C132" s="90">
        <v>8.3100000000000307</v>
      </c>
      <c r="D132" s="97"/>
      <c r="E132" s="97"/>
      <c r="F132" s="97"/>
      <c r="G132" s="98" t="s">
        <v>129</v>
      </c>
      <c r="H132" s="102" t="s">
        <v>29</v>
      </c>
      <c r="I132" s="254">
        <v>86</v>
      </c>
      <c r="J132" s="114">
        <v>14429</v>
      </c>
      <c r="K132" s="114">
        <f t="shared" si="58"/>
        <v>1240894</v>
      </c>
      <c r="L132" s="876"/>
      <c r="M132" s="307">
        <f t="shared" si="59"/>
        <v>0</v>
      </c>
      <c r="N132" s="307">
        <f t="shared" si="60"/>
        <v>0</v>
      </c>
      <c r="O132" s="313">
        <f t="shared" si="61"/>
        <v>0</v>
      </c>
      <c r="P132" s="313">
        <f t="shared" si="62"/>
        <v>0</v>
      </c>
      <c r="Q132" s="313">
        <f t="shared" si="67"/>
        <v>0</v>
      </c>
      <c r="R132" s="872"/>
      <c r="S132" s="254">
        <v>86</v>
      </c>
      <c r="T132" s="304">
        <f t="shared" si="64"/>
        <v>14429</v>
      </c>
      <c r="U132" s="501">
        <f t="shared" si="66"/>
        <v>1240894</v>
      </c>
      <c r="V132" s="148"/>
    </row>
    <row r="133" spans="2:22" ht="30" customHeight="1">
      <c r="B133" s="80"/>
      <c r="C133" s="90">
        <v>8.3200000000000305</v>
      </c>
      <c r="D133" s="97"/>
      <c r="E133" s="97"/>
      <c r="F133" s="97"/>
      <c r="G133" s="98" t="s">
        <v>130</v>
      </c>
      <c r="H133" s="102" t="s">
        <v>29</v>
      </c>
      <c r="I133" s="254">
        <v>67</v>
      </c>
      <c r="J133" s="114">
        <v>8695</v>
      </c>
      <c r="K133" s="114">
        <f t="shared" si="58"/>
        <v>582565</v>
      </c>
      <c r="L133" s="876"/>
      <c r="M133" s="307">
        <f t="shared" si="59"/>
        <v>0</v>
      </c>
      <c r="N133" s="307">
        <f t="shared" si="60"/>
        <v>0</v>
      </c>
      <c r="O133" s="313">
        <f t="shared" si="61"/>
        <v>0</v>
      </c>
      <c r="P133" s="313">
        <f t="shared" si="62"/>
        <v>0</v>
      </c>
      <c r="Q133" s="313">
        <f t="shared" si="67"/>
        <v>0</v>
      </c>
      <c r="R133" s="872"/>
      <c r="S133" s="254">
        <v>67</v>
      </c>
      <c r="T133" s="304">
        <f t="shared" si="64"/>
        <v>8695</v>
      </c>
      <c r="U133" s="501">
        <f t="shared" si="66"/>
        <v>582565</v>
      </c>
      <c r="V133" s="148"/>
    </row>
    <row r="134" spans="2:22" ht="30" customHeight="1">
      <c r="B134" s="80"/>
      <c r="C134" s="90">
        <v>8.3300000000000303</v>
      </c>
      <c r="D134" s="97"/>
      <c r="E134" s="97"/>
      <c r="F134" s="97"/>
      <c r="G134" s="98" t="s">
        <v>131</v>
      </c>
      <c r="H134" s="102" t="s">
        <v>29</v>
      </c>
      <c r="I134" s="254">
        <v>22</v>
      </c>
      <c r="J134" s="114">
        <v>7373</v>
      </c>
      <c r="K134" s="114">
        <f t="shared" ref="K134:K165" si="68">I134*J134</f>
        <v>162206</v>
      </c>
      <c r="L134" s="876"/>
      <c r="M134" s="307">
        <f t="shared" ref="M134:M166" si="69">+IF(I134&lt;S134,S134-I134,0)</f>
        <v>26</v>
      </c>
      <c r="N134" s="307">
        <f t="shared" ref="N134:N166" si="70">+IF(I134&gt;S134,-S134+I134,0)</f>
        <v>0</v>
      </c>
      <c r="O134" s="313">
        <f t="shared" ref="O134:O166" si="71">+M134*J134</f>
        <v>191698</v>
      </c>
      <c r="P134" s="313">
        <f t="shared" ref="P134:P166" si="72">+N134*J134</f>
        <v>0</v>
      </c>
      <c r="Q134" s="313">
        <f t="shared" si="67"/>
        <v>191698</v>
      </c>
      <c r="R134" s="872"/>
      <c r="S134" s="254">
        <v>48</v>
      </c>
      <c r="T134" s="304">
        <f t="shared" ref="T134:T166" si="73">+J134</f>
        <v>7373</v>
      </c>
      <c r="U134" s="501">
        <f t="shared" si="66"/>
        <v>353904</v>
      </c>
      <c r="V134" s="148"/>
    </row>
    <row r="135" spans="2:22" ht="30" customHeight="1">
      <c r="B135" s="80"/>
      <c r="C135" s="90">
        <v>8.3400000000000301</v>
      </c>
      <c r="D135" s="97"/>
      <c r="E135" s="97"/>
      <c r="F135" s="97"/>
      <c r="G135" s="98" t="s">
        <v>132</v>
      </c>
      <c r="H135" s="102" t="s">
        <v>29</v>
      </c>
      <c r="I135" s="254">
        <v>3</v>
      </c>
      <c r="J135" s="114">
        <v>31575</v>
      </c>
      <c r="K135" s="114">
        <f t="shared" si="68"/>
        <v>94725</v>
      </c>
      <c r="L135" s="876"/>
      <c r="M135" s="307">
        <f t="shared" si="69"/>
        <v>13</v>
      </c>
      <c r="N135" s="307">
        <f t="shared" si="70"/>
        <v>0</v>
      </c>
      <c r="O135" s="313">
        <f t="shared" si="71"/>
        <v>410475</v>
      </c>
      <c r="P135" s="313">
        <f t="shared" si="72"/>
        <v>0</v>
      </c>
      <c r="Q135" s="313">
        <f t="shared" si="67"/>
        <v>410475</v>
      </c>
      <c r="R135" s="872"/>
      <c r="S135" s="254">
        <v>16</v>
      </c>
      <c r="T135" s="304">
        <f t="shared" si="73"/>
        <v>31575</v>
      </c>
      <c r="U135" s="501">
        <f t="shared" si="66"/>
        <v>505200</v>
      </c>
      <c r="V135" s="148"/>
    </row>
    <row r="136" spans="2:22" ht="30" customHeight="1">
      <c r="B136" s="80"/>
      <c r="C136" s="90">
        <v>8.3500000000000405</v>
      </c>
      <c r="D136" s="97"/>
      <c r="E136" s="97"/>
      <c r="F136" s="97"/>
      <c r="G136" s="98" t="s">
        <v>133</v>
      </c>
      <c r="H136" s="102" t="s">
        <v>29</v>
      </c>
      <c r="I136" s="254">
        <v>10</v>
      </c>
      <c r="J136" s="114">
        <v>21047</v>
      </c>
      <c r="K136" s="114">
        <f t="shared" si="68"/>
        <v>210470</v>
      </c>
      <c r="L136" s="876"/>
      <c r="M136" s="307">
        <f t="shared" si="69"/>
        <v>8</v>
      </c>
      <c r="N136" s="307">
        <f t="shared" si="70"/>
        <v>0</v>
      </c>
      <c r="O136" s="313">
        <f t="shared" si="71"/>
        <v>168376</v>
      </c>
      <c r="P136" s="313">
        <f t="shared" si="72"/>
        <v>0</v>
      </c>
      <c r="Q136" s="313">
        <f t="shared" si="67"/>
        <v>168376</v>
      </c>
      <c r="R136" s="872"/>
      <c r="S136" s="254">
        <v>18</v>
      </c>
      <c r="T136" s="304">
        <f t="shared" si="73"/>
        <v>21047</v>
      </c>
      <c r="U136" s="501">
        <f t="shared" si="66"/>
        <v>378846</v>
      </c>
      <c r="V136" s="148"/>
    </row>
    <row r="137" spans="2:22" ht="30" customHeight="1">
      <c r="B137" s="80"/>
      <c r="C137" s="90">
        <v>8.3600000000000403</v>
      </c>
      <c r="D137" s="97"/>
      <c r="E137" s="97"/>
      <c r="F137" s="97"/>
      <c r="G137" s="98" t="s">
        <v>134</v>
      </c>
      <c r="H137" s="102" t="s">
        <v>29</v>
      </c>
      <c r="I137" s="254">
        <v>1</v>
      </c>
      <c r="J137" s="114">
        <v>40712</v>
      </c>
      <c r="K137" s="114">
        <f t="shared" si="68"/>
        <v>40712</v>
      </c>
      <c r="L137" s="876"/>
      <c r="M137" s="307">
        <f t="shared" si="69"/>
        <v>9</v>
      </c>
      <c r="N137" s="307">
        <f t="shared" si="70"/>
        <v>0</v>
      </c>
      <c r="O137" s="313">
        <f t="shared" si="71"/>
        <v>366408</v>
      </c>
      <c r="P137" s="313">
        <f t="shared" si="72"/>
        <v>0</v>
      </c>
      <c r="Q137" s="313">
        <f t="shared" si="67"/>
        <v>366408</v>
      </c>
      <c r="R137" s="872"/>
      <c r="S137" s="254">
        <v>10</v>
      </c>
      <c r="T137" s="304">
        <f t="shared" si="73"/>
        <v>40712</v>
      </c>
      <c r="U137" s="501">
        <f t="shared" si="66"/>
        <v>407120</v>
      </c>
      <c r="V137" s="148"/>
    </row>
    <row r="138" spans="2:22" ht="30" customHeight="1">
      <c r="B138" s="80"/>
      <c r="C138" s="90">
        <v>8.3700000000000401</v>
      </c>
      <c r="D138" s="97"/>
      <c r="E138" s="97"/>
      <c r="F138" s="97"/>
      <c r="G138" s="98" t="s">
        <v>135</v>
      </c>
      <c r="H138" s="102" t="s">
        <v>29</v>
      </c>
      <c r="I138" s="254">
        <v>1</v>
      </c>
      <c r="J138" s="114">
        <v>78377</v>
      </c>
      <c r="K138" s="114">
        <f t="shared" si="68"/>
        <v>78377</v>
      </c>
      <c r="L138" s="876"/>
      <c r="M138" s="307">
        <f t="shared" si="69"/>
        <v>2</v>
      </c>
      <c r="N138" s="307">
        <f t="shared" si="70"/>
        <v>0</v>
      </c>
      <c r="O138" s="313">
        <f t="shared" si="71"/>
        <v>156754</v>
      </c>
      <c r="P138" s="313">
        <f t="shared" si="72"/>
        <v>0</v>
      </c>
      <c r="Q138" s="313">
        <f t="shared" si="67"/>
        <v>156754</v>
      </c>
      <c r="R138" s="872"/>
      <c r="S138" s="254">
        <v>3</v>
      </c>
      <c r="T138" s="304">
        <f t="shared" si="73"/>
        <v>78377</v>
      </c>
      <c r="U138" s="501">
        <f t="shared" si="66"/>
        <v>235131</v>
      </c>
      <c r="V138" s="148"/>
    </row>
    <row r="139" spans="2:22" ht="30" customHeight="1">
      <c r="B139" s="80"/>
      <c r="C139" s="90">
        <v>8.3800000000000399</v>
      </c>
      <c r="D139" s="97"/>
      <c r="E139" s="97"/>
      <c r="F139" s="97"/>
      <c r="G139" s="98" t="s">
        <v>136</v>
      </c>
      <c r="H139" s="102" t="s">
        <v>29</v>
      </c>
      <c r="I139" s="254">
        <v>99</v>
      </c>
      <c r="J139" s="114">
        <v>9384</v>
      </c>
      <c r="K139" s="114">
        <f t="shared" si="68"/>
        <v>929016</v>
      </c>
      <c r="L139" s="876"/>
      <c r="M139" s="307">
        <f t="shared" si="69"/>
        <v>0</v>
      </c>
      <c r="N139" s="307">
        <f t="shared" si="70"/>
        <v>0</v>
      </c>
      <c r="O139" s="313">
        <f t="shared" si="71"/>
        <v>0</v>
      </c>
      <c r="P139" s="313">
        <f t="shared" si="72"/>
        <v>0</v>
      </c>
      <c r="Q139" s="313">
        <f t="shared" si="67"/>
        <v>0</v>
      </c>
      <c r="R139" s="872"/>
      <c r="S139" s="254">
        <v>99</v>
      </c>
      <c r="T139" s="304">
        <f t="shared" si="73"/>
        <v>9384</v>
      </c>
      <c r="U139" s="501">
        <f t="shared" si="66"/>
        <v>929016</v>
      </c>
      <c r="V139" s="148"/>
    </row>
    <row r="140" spans="2:22" ht="30" customHeight="1">
      <c r="B140" s="80"/>
      <c r="C140" s="90">
        <v>8.3900000000000396</v>
      </c>
      <c r="D140" s="97"/>
      <c r="E140" s="97"/>
      <c r="F140" s="97"/>
      <c r="G140" s="98" t="s">
        <v>137</v>
      </c>
      <c r="H140" s="102" t="s">
        <v>29</v>
      </c>
      <c r="I140" s="254">
        <v>92</v>
      </c>
      <c r="J140" s="114">
        <v>8871</v>
      </c>
      <c r="K140" s="114">
        <f t="shared" si="68"/>
        <v>816132</v>
      </c>
      <c r="L140" s="876"/>
      <c r="M140" s="307">
        <f t="shared" si="69"/>
        <v>0</v>
      </c>
      <c r="N140" s="307">
        <f t="shared" si="70"/>
        <v>0</v>
      </c>
      <c r="O140" s="313">
        <f t="shared" si="71"/>
        <v>0</v>
      </c>
      <c r="P140" s="313">
        <f t="shared" si="72"/>
        <v>0</v>
      </c>
      <c r="Q140" s="313">
        <f t="shared" si="67"/>
        <v>0</v>
      </c>
      <c r="R140" s="872"/>
      <c r="S140" s="254">
        <v>92</v>
      </c>
      <c r="T140" s="304">
        <f t="shared" si="73"/>
        <v>8871</v>
      </c>
      <c r="U140" s="501">
        <f t="shared" si="66"/>
        <v>816132</v>
      </c>
      <c r="V140" s="148"/>
    </row>
    <row r="141" spans="2:22" ht="30" customHeight="1">
      <c r="B141" s="80"/>
      <c r="C141" s="90">
        <v>8.4000000000000394</v>
      </c>
      <c r="D141" s="97"/>
      <c r="E141" s="97"/>
      <c r="F141" s="97"/>
      <c r="G141" s="98" t="s">
        <v>138</v>
      </c>
      <c r="H141" s="102" t="s">
        <v>29</v>
      </c>
      <c r="I141" s="254">
        <v>23</v>
      </c>
      <c r="J141" s="114">
        <v>8614</v>
      </c>
      <c r="K141" s="114">
        <f t="shared" si="68"/>
        <v>198122</v>
      </c>
      <c r="L141" s="876"/>
      <c r="M141" s="307">
        <f t="shared" si="69"/>
        <v>0</v>
      </c>
      <c r="N141" s="307">
        <f t="shared" si="70"/>
        <v>0</v>
      </c>
      <c r="O141" s="313">
        <f t="shared" si="71"/>
        <v>0</v>
      </c>
      <c r="P141" s="313">
        <f t="shared" si="72"/>
        <v>0</v>
      </c>
      <c r="Q141" s="313">
        <f t="shared" si="67"/>
        <v>0</v>
      </c>
      <c r="R141" s="872"/>
      <c r="S141" s="254">
        <v>23</v>
      </c>
      <c r="T141" s="304">
        <f t="shared" si="73"/>
        <v>8614</v>
      </c>
      <c r="U141" s="501">
        <f t="shared" si="66"/>
        <v>198122</v>
      </c>
      <c r="V141" s="148"/>
    </row>
    <row r="142" spans="2:22" ht="30" customHeight="1">
      <c r="B142" s="80"/>
      <c r="C142" s="90">
        <v>8.4100000000000392</v>
      </c>
      <c r="D142" s="97"/>
      <c r="E142" s="97"/>
      <c r="F142" s="97"/>
      <c r="G142" s="98" t="s">
        <v>139</v>
      </c>
      <c r="H142" s="102" t="s">
        <v>29</v>
      </c>
      <c r="I142" s="254">
        <v>8</v>
      </c>
      <c r="J142" s="114">
        <v>11117</v>
      </c>
      <c r="K142" s="114">
        <f t="shared" si="68"/>
        <v>88936</v>
      </c>
      <c r="L142" s="876"/>
      <c r="M142" s="307">
        <f t="shared" si="69"/>
        <v>0</v>
      </c>
      <c r="N142" s="307">
        <f t="shared" si="70"/>
        <v>0</v>
      </c>
      <c r="O142" s="313">
        <f t="shared" si="71"/>
        <v>0</v>
      </c>
      <c r="P142" s="313">
        <f t="shared" si="72"/>
        <v>0</v>
      </c>
      <c r="Q142" s="313">
        <f t="shared" si="67"/>
        <v>0</v>
      </c>
      <c r="R142" s="872"/>
      <c r="S142" s="254">
        <v>8</v>
      </c>
      <c r="T142" s="304">
        <f t="shared" si="73"/>
        <v>11117</v>
      </c>
      <c r="U142" s="501">
        <f t="shared" si="66"/>
        <v>88936</v>
      </c>
      <c r="V142" s="148"/>
    </row>
    <row r="143" spans="2:22" ht="30" customHeight="1">
      <c r="B143" s="80"/>
      <c r="C143" s="90">
        <v>8.4200000000000497</v>
      </c>
      <c r="D143" s="97"/>
      <c r="E143" s="97"/>
      <c r="F143" s="97"/>
      <c r="G143" s="98" t="s">
        <v>858</v>
      </c>
      <c r="H143" s="102" t="s">
        <v>29</v>
      </c>
      <c r="I143" s="254">
        <v>2</v>
      </c>
      <c r="J143" s="114">
        <v>24287</v>
      </c>
      <c r="K143" s="114">
        <f t="shared" si="68"/>
        <v>48574</v>
      </c>
      <c r="L143" s="876"/>
      <c r="M143" s="307">
        <f t="shared" si="69"/>
        <v>0</v>
      </c>
      <c r="N143" s="307">
        <f t="shared" si="70"/>
        <v>0</v>
      </c>
      <c r="O143" s="313">
        <f t="shared" si="71"/>
        <v>0</v>
      </c>
      <c r="P143" s="313">
        <f t="shared" si="72"/>
        <v>0</v>
      </c>
      <c r="Q143" s="313">
        <f t="shared" si="67"/>
        <v>0</v>
      </c>
      <c r="R143" s="872"/>
      <c r="S143" s="254">
        <v>2</v>
      </c>
      <c r="T143" s="304">
        <f t="shared" si="73"/>
        <v>24287</v>
      </c>
      <c r="U143" s="501">
        <f t="shared" si="66"/>
        <v>48574</v>
      </c>
      <c r="V143" s="148"/>
    </row>
    <row r="144" spans="2:22" ht="30" customHeight="1">
      <c r="B144" s="80"/>
      <c r="C144" s="90">
        <v>8.4300000000000495</v>
      </c>
      <c r="D144" s="97"/>
      <c r="E144" s="97"/>
      <c r="F144" s="97"/>
      <c r="G144" s="98" t="s">
        <v>141</v>
      </c>
      <c r="H144" s="102" t="s">
        <v>29</v>
      </c>
      <c r="I144" s="254">
        <v>1</v>
      </c>
      <c r="J144" s="114">
        <v>35270</v>
      </c>
      <c r="K144" s="114">
        <f t="shared" si="68"/>
        <v>35270</v>
      </c>
      <c r="L144" s="876"/>
      <c r="M144" s="307">
        <f t="shared" si="69"/>
        <v>0</v>
      </c>
      <c r="N144" s="307">
        <f t="shared" si="70"/>
        <v>0</v>
      </c>
      <c r="O144" s="313">
        <f t="shared" si="71"/>
        <v>0</v>
      </c>
      <c r="P144" s="313">
        <f t="shared" si="72"/>
        <v>0</v>
      </c>
      <c r="Q144" s="313">
        <f t="shared" si="67"/>
        <v>0</v>
      </c>
      <c r="R144" s="872"/>
      <c r="S144" s="254">
        <v>1</v>
      </c>
      <c r="T144" s="304">
        <f t="shared" si="73"/>
        <v>35270</v>
      </c>
      <c r="U144" s="501">
        <f t="shared" si="66"/>
        <v>35270</v>
      </c>
      <c r="V144" s="148"/>
    </row>
    <row r="145" spans="2:22" ht="30" customHeight="1">
      <c r="B145" s="80"/>
      <c r="C145" s="90">
        <v>8.4400000000000492</v>
      </c>
      <c r="D145" s="97"/>
      <c r="E145" s="97"/>
      <c r="F145" s="97"/>
      <c r="G145" s="98" t="s">
        <v>142</v>
      </c>
      <c r="H145" s="102" t="s">
        <v>29</v>
      </c>
      <c r="I145" s="254">
        <v>271</v>
      </c>
      <c r="J145" s="114">
        <v>9289</v>
      </c>
      <c r="K145" s="114">
        <f t="shared" si="68"/>
        <v>2517319</v>
      </c>
      <c r="L145" s="876"/>
      <c r="M145" s="307">
        <f t="shared" si="69"/>
        <v>0</v>
      </c>
      <c r="N145" s="307">
        <f t="shared" si="70"/>
        <v>0</v>
      </c>
      <c r="O145" s="313">
        <f t="shared" si="71"/>
        <v>0</v>
      </c>
      <c r="P145" s="313">
        <f t="shared" si="72"/>
        <v>0</v>
      </c>
      <c r="Q145" s="313">
        <f t="shared" si="67"/>
        <v>0</v>
      </c>
      <c r="R145" s="872"/>
      <c r="S145" s="254">
        <v>271</v>
      </c>
      <c r="T145" s="304">
        <f t="shared" si="73"/>
        <v>9289</v>
      </c>
      <c r="U145" s="501">
        <f t="shared" si="66"/>
        <v>2517319</v>
      </c>
      <c r="V145" s="148"/>
    </row>
    <row r="146" spans="2:22" ht="30" customHeight="1">
      <c r="B146" s="80"/>
      <c r="C146" s="90">
        <v>8.4500000000000508</v>
      </c>
      <c r="D146" s="97"/>
      <c r="E146" s="97"/>
      <c r="F146" s="97"/>
      <c r="G146" s="98" t="s">
        <v>143</v>
      </c>
      <c r="H146" s="102" t="s">
        <v>29</v>
      </c>
      <c r="I146" s="254">
        <v>15</v>
      </c>
      <c r="J146" s="114">
        <v>2782</v>
      </c>
      <c r="K146" s="114">
        <f t="shared" si="68"/>
        <v>41730</v>
      </c>
      <c r="L146" s="876"/>
      <c r="M146" s="307">
        <f t="shared" si="69"/>
        <v>0</v>
      </c>
      <c r="N146" s="307">
        <f t="shared" si="70"/>
        <v>0</v>
      </c>
      <c r="O146" s="313">
        <f t="shared" si="71"/>
        <v>0</v>
      </c>
      <c r="P146" s="313">
        <f t="shared" si="72"/>
        <v>0</v>
      </c>
      <c r="Q146" s="313">
        <f t="shared" si="67"/>
        <v>0</v>
      </c>
      <c r="R146" s="872"/>
      <c r="S146" s="254">
        <v>15</v>
      </c>
      <c r="T146" s="304">
        <f t="shared" si="73"/>
        <v>2782</v>
      </c>
      <c r="U146" s="501">
        <f t="shared" si="66"/>
        <v>41730</v>
      </c>
      <c r="V146" s="148"/>
    </row>
    <row r="147" spans="2:22" ht="30" customHeight="1">
      <c r="B147" s="80"/>
      <c r="C147" s="90">
        <v>8.4600000000000506</v>
      </c>
      <c r="D147" s="97"/>
      <c r="E147" s="97"/>
      <c r="F147" s="97"/>
      <c r="G147" s="98" t="s">
        <v>144</v>
      </c>
      <c r="H147" s="102" t="s">
        <v>29</v>
      </c>
      <c r="I147" s="254">
        <v>26</v>
      </c>
      <c r="J147" s="114">
        <v>10352</v>
      </c>
      <c r="K147" s="114">
        <f t="shared" si="68"/>
        <v>269152</v>
      </c>
      <c r="L147" s="876"/>
      <c r="M147" s="307">
        <f t="shared" si="69"/>
        <v>0</v>
      </c>
      <c r="N147" s="307">
        <f t="shared" si="70"/>
        <v>0</v>
      </c>
      <c r="O147" s="313">
        <f t="shared" si="71"/>
        <v>0</v>
      </c>
      <c r="P147" s="313">
        <f t="shared" si="72"/>
        <v>0</v>
      </c>
      <c r="Q147" s="313">
        <f t="shared" si="67"/>
        <v>0</v>
      </c>
      <c r="R147" s="872"/>
      <c r="S147" s="254">
        <v>26</v>
      </c>
      <c r="T147" s="304">
        <f t="shared" si="73"/>
        <v>10352</v>
      </c>
      <c r="U147" s="501">
        <f t="shared" si="66"/>
        <v>269152</v>
      </c>
      <c r="V147" s="148"/>
    </row>
    <row r="148" spans="2:22" ht="30" customHeight="1">
      <c r="B148" s="80"/>
      <c r="C148" s="90">
        <v>8.4700000000000504</v>
      </c>
      <c r="D148" s="97"/>
      <c r="E148" s="97"/>
      <c r="F148" s="97"/>
      <c r="G148" s="98" t="s">
        <v>145</v>
      </c>
      <c r="H148" s="102" t="s">
        <v>29</v>
      </c>
      <c r="I148" s="254">
        <v>13</v>
      </c>
      <c r="J148" s="114">
        <v>22697</v>
      </c>
      <c r="K148" s="114">
        <f t="shared" si="68"/>
        <v>295061</v>
      </c>
      <c r="L148" s="876"/>
      <c r="M148" s="307">
        <f t="shared" si="69"/>
        <v>0</v>
      </c>
      <c r="N148" s="307">
        <f t="shared" si="70"/>
        <v>0</v>
      </c>
      <c r="O148" s="313">
        <f t="shared" si="71"/>
        <v>0</v>
      </c>
      <c r="P148" s="313">
        <f t="shared" si="72"/>
        <v>0</v>
      </c>
      <c r="Q148" s="313">
        <f t="shared" si="67"/>
        <v>0</v>
      </c>
      <c r="R148" s="872"/>
      <c r="S148" s="254">
        <v>13</v>
      </c>
      <c r="T148" s="304">
        <f t="shared" si="73"/>
        <v>22697</v>
      </c>
      <c r="U148" s="501">
        <f t="shared" si="66"/>
        <v>295061</v>
      </c>
      <c r="V148" s="148"/>
    </row>
    <row r="149" spans="2:22" ht="30" customHeight="1">
      <c r="B149" s="80"/>
      <c r="C149" s="90">
        <v>8.4800000000000608</v>
      </c>
      <c r="D149" s="97"/>
      <c r="E149" s="97"/>
      <c r="F149" s="97"/>
      <c r="G149" s="98" t="s">
        <v>146</v>
      </c>
      <c r="H149" s="102" t="s">
        <v>29</v>
      </c>
      <c r="I149" s="254">
        <v>271</v>
      </c>
      <c r="J149" s="114">
        <v>2179</v>
      </c>
      <c r="K149" s="114">
        <f t="shared" si="68"/>
        <v>590509</v>
      </c>
      <c r="L149" s="876"/>
      <c r="M149" s="307">
        <f t="shared" si="69"/>
        <v>0</v>
      </c>
      <c r="N149" s="307">
        <f t="shared" si="70"/>
        <v>0</v>
      </c>
      <c r="O149" s="313">
        <f t="shared" si="71"/>
        <v>0</v>
      </c>
      <c r="P149" s="313">
        <f t="shared" si="72"/>
        <v>0</v>
      </c>
      <c r="Q149" s="313">
        <f t="shared" si="67"/>
        <v>0</v>
      </c>
      <c r="R149" s="872"/>
      <c r="S149" s="254">
        <v>271</v>
      </c>
      <c r="T149" s="304">
        <f t="shared" si="73"/>
        <v>2179</v>
      </c>
      <c r="U149" s="501">
        <f t="shared" si="66"/>
        <v>590509</v>
      </c>
      <c r="V149" s="148"/>
    </row>
    <row r="150" spans="2:22" ht="30" customHeight="1">
      <c r="B150" s="80"/>
      <c r="C150" s="90">
        <v>8.4900000000000606</v>
      </c>
      <c r="D150" s="97"/>
      <c r="E150" s="97"/>
      <c r="F150" s="97"/>
      <c r="G150" s="98" t="s">
        <v>147</v>
      </c>
      <c r="H150" s="102" t="s">
        <v>29</v>
      </c>
      <c r="I150" s="254">
        <v>20</v>
      </c>
      <c r="J150" s="114">
        <v>2179</v>
      </c>
      <c r="K150" s="114">
        <f t="shared" si="68"/>
        <v>43580</v>
      </c>
      <c r="L150" s="876"/>
      <c r="M150" s="307">
        <f t="shared" si="69"/>
        <v>0</v>
      </c>
      <c r="N150" s="307">
        <f t="shared" si="70"/>
        <v>0</v>
      </c>
      <c r="O150" s="313">
        <f t="shared" si="71"/>
        <v>0</v>
      </c>
      <c r="P150" s="313">
        <f t="shared" si="72"/>
        <v>0</v>
      </c>
      <c r="Q150" s="313">
        <f t="shared" si="67"/>
        <v>0</v>
      </c>
      <c r="R150" s="872"/>
      <c r="S150" s="254">
        <v>20</v>
      </c>
      <c r="T150" s="304">
        <f t="shared" si="73"/>
        <v>2179</v>
      </c>
      <c r="U150" s="501">
        <f t="shared" si="66"/>
        <v>43580</v>
      </c>
      <c r="V150" s="148"/>
    </row>
    <row r="151" spans="2:22" ht="30" customHeight="1">
      <c r="B151" s="80"/>
      <c r="C151" s="90">
        <v>8.5000000000000604</v>
      </c>
      <c r="D151" s="97"/>
      <c r="E151" s="97"/>
      <c r="F151" s="97"/>
      <c r="G151" s="98" t="s">
        <v>148</v>
      </c>
      <c r="H151" s="102" t="s">
        <v>29</v>
      </c>
      <c r="I151" s="254">
        <v>2</v>
      </c>
      <c r="J151" s="114">
        <v>103724</v>
      </c>
      <c r="K151" s="114">
        <f t="shared" si="68"/>
        <v>207448</v>
      </c>
      <c r="L151" s="876"/>
      <c r="M151" s="307">
        <f t="shared" si="69"/>
        <v>0</v>
      </c>
      <c r="N151" s="307">
        <f t="shared" si="70"/>
        <v>0</v>
      </c>
      <c r="O151" s="313">
        <f t="shared" si="71"/>
        <v>0</v>
      </c>
      <c r="P151" s="313">
        <f t="shared" si="72"/>
        <v>0</v>
      </c>
      <c r="Q151" s="313">
        <f t="shared" si="67"/>
        <v>0</v>
      </c>
      <c r="R151" s="872"/>
      <c r="S151" s="254">
        <v>2</v>
      </c>
      <c r="T151" s="304">
        <f t="shared" si="73"/>
        <v>103724</v>
      </c>
      <c r="U151" s="501">
        <f t="shared" si="66"/>
        <v>207448</v>
      </c>
      <c r="V151" s="148"/>
    </row>
    <row r="152" spans="2:22" ht="30" customHeight="1">
      <c r="B152" s="80"/>
      <c r="C152" s="90">
        <v>8.5100000000000602</v>
      </c>
      <c r="D152" s="97"/>
      <c r="E152" s="97"/>
      <c r="F152" s="97"/>
      <c r="G152" s="98" t="s">
        <v>149</v>
      </c>
      <c r="H152" s="102" t="s">
        <v>29</v>
      </c>
      <c r="I152" s="254">
        <v>1</v>
      </c>
      <c r="J152" s="114">
        <v>147572</v>
      </c>
      <c r="K152" s="114">
        <f t="shared" si="68"/>
        <v>147572</v>
      </c>
      <c r="L152" s="876"/>
      <c r="M152" s="307">
        <f t="shared" si="69"/>
        <v>0</v>
      </c>
      <c r="N152" s="307">
        <f t="shared" si="70"/>
        <v>0</v>
      </c>
      <c r="O152" s="313">
        <f t="shared" si="71"/>
        <v>0</v>
      </c>
      <c r="P152" s="313">
        <f t="shared" si="72"/>
        <v>0</v>
      </c>
      <c r="Q152" s="313">
        <f t="shared" si="67"/>
        <v>0</v>
      </c>
      <c r="R152" s="872"/>
      <c r="S152" s="254">
        <v>1</v>
      </c>
      <c r="T152" s="304">
        <f t="shared" si="73"/>
        <v>147572</v>
      </c>
      <c r="U152" s="501">
        <f t="shared" si="66"/>
        <v>147572</v>
      </c>
      <c r="V152" s="148"/>
    </row>
    <row r="153" spans="2:22" ht="30" customHeight="1">
      <c r="B153" s="80"/>
      <c r="C153" s="90">
        <v>8.52000000000006</v>
      </c>
      <c r="D153" s="97"/>
      <c r="E153" s="97"/>
      <c r="F153" s="97"/>
      <c r="G153" s="98" t="s">
        <v>150</v>
      </c>
      <c r="H153" s="102" t="s">
        <v>29</v>
      </c>
      <c r="I153" s="254">
        <v>17</v>
      </c>
      <c r="J153" s="114">
        <v>181994</v>
      </c>
      <c r="K153" s="114">
        <f t="shared" si="68"/>
        <v>3093898</v>
      </c>
      <c r="L153" s="876"/>
      <c r="M153" s="307">
        <f t="shared" si="69"/>
        <v>0</v>
      </c>
      <c r="N153" s="307">
        <f t="shared" si="70"/>
        <v>0</v>
      </c>
      <c r="O153" s="313">
        <f t="shared" si="71"/>
        <v>0</v>
      </c>
      <c r="P153" s="313">
        <f t="shared" si="72"/>
        <v>0</v>
      </c>
      <c r="Q153" s="313">
        <f t="shared" si="67"/>
        <v>0</v>
      </c>
      <c r="R153" s="872"/>
      <c r="S153" s="254">
        <v>17</v>
      </c>
      <c r="T153" s="304">
        <f t="shared" si="73"/>
        <v>181994</v>
      </c>
      <c r="U153" s="501">
        <f t="shared" si="66"/>
        <v>3093898</v>
      </c>
      <c r="V153" s="148"/>
    </row>
    <row r="154" spans="2:22" ht="30" customHeight="1">
      <c r="B154" s="80"/>
      <c r="C154" s="90">
        <v>8.5300000000000598</v>
      </c>
      <c r="D154" s="97"/>
      <c r="E154" s="97"/>
      <c r="F154" s="97"/>
      <c r="G154" s="98" t="s">
        <v>151</v>
      </c>
      <c r="H154" s="102" t="s">
        <v>29</v>
      </c>
      <c r="I154" s="254">
        <v>225</v>
      </c>
      <c r="J154" s="114">
        <v>54287</v>
      </c>
      <c r="K154" s="114">
        <f t="shared" si="68"/>
        <v>12214575</v>
      </c>
      <c r="L154" s="876"/>
      <c r="M154" s="307">
        <f t="shared" si="69"/>
        <v>0</v>
      </c>
      <c r="N154" s="307">
        <f t="shared" si="70"/>
        <v>0</v>
      </c>
      <c r="O154" s="313">
        <f t="shared" si="71"/>
        <v>0</v>
      </c>
      <c r="P154" s="313">
        <f t="shared" si="72"/>
        <v>0</v>
      </c>
      <c r="Q154" s="313">
        <f t="shared" si="67"/>
        <v>0</v>
      </c>
      <c r="R154" s="872"/>
      <c r="S154" s="254">
        <v>225</v>
      </c>
      <c r="T154" s="304">
        <f t="shared" si="73"/>
        <v>54287</v>
      </c>
      <c r="U154" s="501">
        <f t="shared" si="66"/>
        <v>12214575</v>
      </c>
      <c r="V154" s="148"/>
    </row>
    <row r="155" spans="2:22" ht="30" customHeight="1">
      <c r="B155" s="80"/>
      <c r="C155" s="90">
        <v>8.5400000000000595</v>
      </c>
      <c r="D155" s="97"/>
      <c r="E155" s="97"/>
      <c r="F155" s="97"/>
      <c r="G155" s="98" t="s">
        <v>152</v>
      </c>
      <c r="H155" s="102" t="s">
        <v>153</v>
      </c>
      <c r="I155" s="254">
        <v>1</v>
      </c>
      <c r="J155" s="114">
        <v>40164853</v>
      </c>
      <c r="K155" s="114">
        <f t="shared" si="68"/>
        <v>40164853</v>
      </c>
      <c r="L155" s="876"/>
      <c r="M155" s="307">
        <f t="shared" si="69"/>
        <v>0</v>
      </c>
      <c r="N155" s="307">
        <f>+IF(I155&gt;S155,-S155+I155,0)</f>
        <v>1</v>
      </c>
      <c r="O155" s="313">
        <f t="shared" si="71"/>
        <v>0</v>
      </c>
      <c r="P155" s="313">
        <f t="shared" si="72"/>
        <v>40164853</v>
      </c>
      <c r="Q155" s="313">
        <f t="shared" si="67"/>
        <v>-40164853</v>
      </c>
      <c r="R155" s="872"/>
      <c r="S155" s="254">
        <v>0</v>
      </c>
      <c r="T155" s="304">
        <f t="shared" si="73"/>
        <v>40164853</v>
      </c>
      <c r="U155" s="501">
        <f t="shared" si="66"/>
        <v>0</v>
      </c>
      <c r="V155" s="148"/>
    </row>
    <row r="156" spans="2:22" ht="51" customHeight="1">
      <c r="B156" s="80"/>
      <c r="C156" s="90">
        <v>8.55000000000007</v>
      </c>
      <c r="D156" s="97"/>
      <c r="E156" s="97"/>
      <c r="F156" s="97"/>
      <c r="G156" s="98" t="s">
        <v>154</v>
      </c>
      <c r="H156" s="102" t="s">
        <v>65</v>
      </c>
      <c r="I156" s="254">
        <v>312</v>
      </c>
      <c r="J156" s="114">
        <v>156880</v>
      </c>
      <c r="K156" s="114">
        <f t="shared" si="68"/>
        <v>48946560</v>
      </c>
      <c r="L156" s="876"/>
      <c r="M156" s="307">
        <f>+IF(I156&lt;S156,S156-I156,0)</f>
        <v>56</v>
      </c>
      <c r="N156" s="307">
        <f t="shared" si="70"/>
        <v>0</v>
      </c>
      <c r="O156" s="313">
        <f t="shared" si="71"/>
        <v>8785280</v>
      </c>
      <c r="P156" s="313">
        <f t="shared" si="72"/>
        <v>0</v>
      </c>
      <c r="Q156" s="313">
        <f t="shared" si="67"/>
        <v>8785280</v>
      </c>
      <c r="R156" s="872"/>
      <c r="S156" s="254">
        <v>368</v>
      </c>
      <c r="T156" s="304">
        <f t="shared" si="73"/>
        <v>156880</v>
      </c>
      <c r="U156" s="501">
        <f t="shared" si="66"/>
        <v>57731840</v>
      </c>
      <c r="V156" s="148"/>
    </row>
    <row r="157" spans="2:22" ht="45.75" customHeight="1">
      <c r="B157" s="80"/>
      <c r="C157" s="90">
        <v>8.5600000000000698</v>
      </c>
      <c r="D157" s="97"/>
      <c r="E157" s="97"/>
      <c r="F157" s="97"/>
      <c r="G157" s="98" t="s">
        <v>155</v>
      </c>
      <c r="H157" s="102" t="s">
        <v>29</v>
      </c>
      <c r="I157" s="254">
        <v>6</v>
      </c>
      <c r="J157" s="114">
        <v>4148385</v>
      </c>
      <c r="K157" s="114">
        <f t="shared" si="68"/>
        <v>24890310</v>
      </c>
      <c r="L157" s="876"/>
      <c r="M157" s="307">
        <f t="shared" si="69"/>
        <v>1</v>
      </c>
      <c r="N157" s="307">
        <f t="shared" si="70"/>
        <v>0</v>
      </c>
      <c r="O157" s="313">
        <f t="shared" si="71"/>
        <v>4148385</v>
      </c>
      <c r="P157" s="313">
        <f t="shared" si="72"/>
        <v>0</v>
      </c>
      <c r="Q157" s="313">
        <f t="shared" si="67"/>
        <v>4148385</v>
      </c>
      <c r="R157" s="872"/>
      <c r="S157" s="254">
        <v>7</v>
      </c>
      <c r="T157" s="304">
        <f t="shared" si="73"/>
        <v>4148385</v>
      </c>
      <c r="U157" s="501">
        <f t="shared" si="66"/>
        <v>29038695</v>
      </c>
      <c r="V157" s="148"/>
    </row>
    <row r="158" spans="2:22" ht="30" customHeight="1">
      <c r="B158" s="80"/>
      <c r="C158" s="90">
        <v>8.5700000000000696</v>
      </c>
      <c r="D158" s="97"/>
      <c r="E158" s="97"/>
      <c r="F158" s="97"/>
      <c r="G158" s="98" t="s">
        <v>156</v>
      </c>
      <c r="H158" s="102" t="s">
        <v>29</v>
      </c>
      <c r="I158" s="254">
        <v>12</v>
      </c>
      <c r="J158" s="114">
        <v>2713212</v>
      </c>
      <c r="K158" s="114">
        <f t="shared" si="68"/>
        <v>32558544</v>
      </c>
      <c r="L158" s="876"/>
      <c r="M158" s="307">
        <f t="shared" si="69"/>
        <v>8</v>
      </c>
      <c r="N158" s="307">
        <f t="shared" si="70"/>
        <v>0</v>
      </c>
      <c r="O158" s="313">
        <f t="shared" si="71"/>
        <v>21705696</v>
      </c>
      <c r="P158" s="313">
        <f t="shared" si="72"/>
        <v>0</v>
      </c>
      <c r="Q158" s="313">
        <f t="shared" si="67"/>
        <v>21705696</v>
      </c>
      <c r="R158" s="872"/>
      <c r="S158" s="254">
        <v>20</v>
      </c>
      <c r="T158" s="304">
        <f t="shared" si="73"/>
        <v>2713212</v>
      </c>
      <c r="U158" s="501">
        <f t="shared" si="66"/>
        <v>54264240</v>
      </c>
      <c r="V158" s="148"/>
    </row>
    <row r="159" spans="2:22" ht="30" customHeight="1">
      <c r="B159" s="80"/>
      <c r="C159" s="90">
        <v>8.5800000000000693</v>
      </c>
      <c r="D159" s="97"/>
      <c r="E159" s="97"/>
      <c r="F159" s="97"/>
      <c r="G159" s="98" t="s">
        <v>157</v>
      </c>
      <c r="H159" s="102" t="s">
        <v>29</v>
      </c>
      <c r="I159" s="254">
        <v>7</v>
      </c>
      <c r="J159" s="114">
        <v>2009042</v>
      </c>
      <c r="K159" s="114">
        <f t="shared" si="68"/>
        <v>14063294</v>
      </c>
      <c r="L159" s="876"/>
      <c r="M159" s="307">
        <f t="shared" si="69"/>
        <v>1</v>
      </c>
      <c r="N159" s="307">
        <f t="shared" si="70"/>
        <v>0</v>
      </c>
      <c r="O159" s="313">
        <f t="shared" si="71"/>
        <v>2009042</v>
      </c>
      <c r="P159" s="313">
        <f t="shared" si="72"/>
        <v>0</v>
      </c>
      <c r="Q159" s="313">
        <f t="shared" si="67"/>
        <v>2009042</v>
      </c>
      <c r="R159" s="872"/>
      <c r="S159" s="254">
        <v>8</v>
      </c>
      <c r="T159" s="304">
        <f t="shared" si="73"/>
        <v>2009042</v>
      </c>
      <c r="U159" s="501">
        <f t="shared" si="66"/>
        <v>16072336</v>
      </c>
      <c r="V159" s="148"/>
    </row>
    <row r="160" spans="2:22" ht="30" customHeight="1">
      <c r="B160" s="80"/>
      <c r="C160" s="90">
        <v>8.5900000000000691</v>
      </c>
      <c r="D160" s="97"/>
      <c r="E160" s="97"/>
      <c r="F160" s="97"/>
      <c r="G160" s="98" t="s">
        <v>158</v>
      </c>
      <c r="H160" s="102" t="s">
        <v>29</v>
      </c>
      <c r="I160" s="254">
        <v>7</v>
      </c>
      <c r="J160" s="114">
        <v>56195</v>
      </c>
      <c r="K160" s="114">
        <f t="shared" si="68"/>
        <v>393365</v>
      </c>
      <c r="L160" s="876"/>
      <c r="M160" s="307">
        <f t="shared" si="69"/>
        <v>0</v>
      </c>
      <c r="N160" s="307">
        <f t="shared" si="70"/>
        <v>0</v>
      </c>
      <c r="O160" s="313">
        <f t="shared" si="71"/>
        <v>0</v>
      </c>
      <c r="P160" s="313">
        <f t="shared" si="72"/>
        <v>0</v>
      </c>
      <c r="Q160" s="313">
        <f t="shared" si="67"/>
        <v>0</v>
      </c>
      <c r="R160" s="872"/>
      <c r="S160" s="254">
        <v>7</v>
      </c>
      <c r="T160" s="304">
        <f t="shared" si="73"/>
        <v>56195</v>
      </c>
      <c r="U160" s="501">
        <f t="shared" si="66"/>
        <v>393365</v>
      </c>
      <c r="V160" s="148"/>
    </row>
    <row r="161" spans="2:22" ht="30" customHeight="1">
      <c r="B161" s="80"/>
      <c r="C161" s="90">
        <v>8.6000000000000707</v>
      </c>
      <c r="D161" s="97"/>
      <c r="E161" s="97"/>
      <c r="F161" s="97"/>
      <c r="G161" s="98" t="s">
        <v>159</v>
      </c>
      <c r="H161" s="102" t="s">
        <v>29</v>
      </c>
      <c r="I161" s="254">
        <v>7</v>
      </c>
      <c r="J161" s="114">
        <v>74572</v>
      </c>
      <c r="K161" s="114">
        <f t="shared" si="68"/>
        <v>522004</v>
      </c>
      <c r="L161" s="876"/>
      <c r="M161" s="307">
        <f t="shared" si="69"/>
        <v>0</v>
      </c>
      <c r="N161" s="307">
        <f t="shared" si="70"/>
        <v>0</v>
      </c>
      <c r="O161" s="313">
        <f t="shared" si="71"/>
        <v>0</v>
      </c>
      <c r="P161" s="313">
        <f t="shared" si="72"/>
        <v>0</v>
      </c>
      <c r="Q161" s="313">
        <f t="shared" si="67"/>
        <v>0</v>
      </c>
      <c r="R161" s="872"/>
      <c r="S161" s="254">
        <v>7</v>
      </c>
      <c r="T161" s="304">
        <f t="shared" si="73"/>
        <v>74572</v>
      </c>
      <c r="U161" s="501">
        <f t="shared" si="66"/>
        <v>522004</v>
      </c>
      <c r="V161" s="148"/>
    </row>
    <row r="162" spans="2:22" ht="30" customHeight="1">
      <c r="B162" s="80"/>
      <c r="C162" s="90">
        <v>8.6100000000000794</v>
      </c>
      <c r="D162" s="97"/>
      <c r="E162" s="97"/>
      <c r="F162" s="97"/>
      <c r="G162" s="98" t="s">
        <v>160</v>
      </c>
      <c r="H162" s="102" t="s">
        <v>29</v>
      </c>
      <c r="I162" s="254">
        <v>7</v>
      </c>
      <c r="J162" s="114">
        <v>48836</v>
      </c>
      <c r="K162" s="114">
        <f t="shared" si="68"/>
        <v>341852</v>
      </c>
      <c r="L162" s="876"/>
      <c r="M162" s="307">
        <f t="shared" si="69"/>
        <v>0</v>
      </c>
      <c r="N162" s="307">
        <f t="shared" si="70"/>
        <v>0</v>
      </c>
      <c r="O162" s="313">
        <f t="shared" si="71"/>
        <v>0</v>
      </c>
      <c r="P162" s="313">
        <f t="shared" si="72"/>
        <v>0</v>
      </c>
      <c r="Q162" s="313">
        <f t="shared" si="67"/>
        <v>0</v>
      </c>
      <c r="R162" s="872"/>
      <c r="S162" s="254">
        <v>7</v>
      </c>
      <c r="T162" s="304">
        <f t="shared" si="73"/>
        <v>48836</v>
      </c>
      <c r="U162" s="501">
        <f t="shared" si="66"/>
        <v>341852</v>
      </c>
      <c r="V162" s="148"/>
    </row>
    <row r="163" spans="2:22" ht="30" customHeight="1">
      <c r="B163" s="80"/>
      <c r="C163" s="90">
        <v>8.6200000000000792</v>
      </c>
      <c r="D163" s="97"/>
      <c r="E163" s="97"/>
      <c r="F163" s="97"/>
      <c r="G163" s="98" t="s">
        <v>161</v>
      </c>
      <c r="H163" s="102" t="s">
        <v>29</v>
      </c>
      <c r="I163" s="254">
        <v>7</v>
      </c>
      <c r="J163" s="114">
        <v>48515</v>
      </c>
      <c r="K163" s="114">
        <f t="shared" si="68"/>
        <v>339605</v>
      </c>
      <c r="L163" s="876"/>
      <c r="M163" s="307">
        <f t="shared" si="69"/>
        <v>7</v>
      </c>
      <c r="N163" s="307">
        <f t="shared" si="70"/>
        <v>0</v>
      </c>
      <c r="O163" s="313">
        <f t="shared" si="71"/>
        <v>339605</v>
      </c>
      <c r="P163" s="313">
        <f t="shared" si="72"/>
        <v>0</v>
      </c>
      <c r="Q163" s="313">
        <f t="shared" si="67"/>
        <v>339605</v>
      </c>
      <c r="R163" s="872"/>
      <c r="S163" s="254">
        <v>14</v>
      </c>
      <c r="T163" s="304">
        <f t="shared" si="73"/>
        <v>48515</v>
      </c>
      <c r="U163" s="501">
        <f t="shared" si="66"/>
        <v>679210</v>
      </c>
      <c r="V163" s="148"/>
    </row>
    <row r="164" spans="2:22" ht="30" customHeight="1">
      <c r="B164" s="80"/>
      <c r="C164" s="90">
        <v>8.6300000000000807</v>
      </c>
      <c r="D164" s="97"/>
      <c r="E164" s="97"/>
      <c r="F164" s="97"/>
      <c r="G164" s="98" t="s">
        <v>162</v>
      </c>
      <c r="H164" s="102" t="s">
        <v>29</v>
      </c>
      <c r="I164" s="254">
        <v>35</v>
      </c>
      <c r="J164" s="114">
        <v>56195</v>
      </c>
      <c r="K164" s="114">
        <f t="shared" si="68"/>
        <v>1966825</v>
      </c>
      <c r="L164" s="876"/>
      <c r="M164" s="307">
        <f t="shared" si="69"/>
        <v>0</v>
      </c>
      <c r="N164" s="307">
        <f t="shared" si="70"/>
        <v>0</v>
      </c>
      <c r="O164" s="313">
        <f t="shared" si="71"/>
        <v>0</v>
      </c>
      <c r="P164" s="313">
        <f t="shared" si="72"/>
        <v>0</v>
      </c>
      <c r="Q164" s="313">
        <f t="shared" si="67"/>
        <v>0</v>
      </c>
      <c r="R164" s="872"/>
      <c r="S164" s="254">
        <v>35</v>
      </c>
      <c r="T164" s="304">
        <f t="shared" si="73"/>
        <v>56195</v>
      </c>
      <c r="U164" s="501">
        <f t="shared" si="66"/>
        <v>1966825</v>
      </c>
      <c r="V164" s="148"/>
    </row>
    <row r="165" spans="2:22" ht="69" customHeight="1">
      <c r="B165" s="80"/>
      <c r="C165" s="90">
        <v>8.6400000000000805</v>
      </c>
      <c r="D165" s="97"/>
      <c r="E165" s="97"/>
      <c r="F165" s="97"/>
      <c r="G165" s="98" t="s">
        <v>163</v>
      </c>
      <c r="H165" s="102" t="s">
        <v>29</v>
      </c>
      <c r="I165" s="254">
        <v>7</v>
      </c>
      <c r="J165" s="114">
        <v>3696890</v>
      </c>
      <c r="K165" s="114">
        <f t="shared" si="68"/>
        <v>25878230</v>
      </c>
      <c r="L165" s="876"/>
      <c r="M165" s="307">
        <f t="shared" si="69"/>
        <v>0</v>
      </c>
      <c r="N165" s="307">
        <f t="shared" si="70"/>
        <v>0</v>
      </c>
      <c r="O165" s="313">
        <f t="shared" si="71"/>
        <v>0</v>
      </c>
      <c r="P165" s="313">
        <f t="shared" si="72"/>
        <v>0</v>
      </c>
      <c r="Q165" s="313">
        <f t="shared" si="67"/>
        <v>0</v>
      </c>
      <c r="R165" s="872"/>
      <c r="S165" s="254">
        <v>7</v>
      </c>
      <c r="T165" s="304">
        <f t="shared" si="73"/>
        <v>3696890</v>
      </c>
      <c r="U165" s="501">
        <f t="shared" si="66"/>
        <v>25878230</v>
      </c>
      <c r="V165" s="148"/>
    </row>
    <row r="166" spans="2:22" ht="78.75" customHeight="1">
      <c r="B166" s="80"/>
      <c r="C166" s="90">
        <v>8.6500000000000803</v>
      </c>
      <c r="D166" s="97"/>
      <c r="E166" s="97"/>
      <c r="F166" s="97"/>
      <c r="G166" s="98" t="s">
        <v>164</v>
      </c>
      <c r="H166" s="102" t="s">
        <v>153</v>
      </c>
      <c r="I166" s="254">
        <v>1</v>
      </c>
      <c r="J166" s="114">
        <v>65748264</v>
      </c>
      <c r="K166" s="114">
        <f t="shared" ref="K166" si="74">I166*J166</f>
        <v>65748264</v>
      </c>
      <c r="L166" s="876"/>
      <c r="M166" s="307">
        <f t="shared" si="69"/>
        <v>0</v>
      </c>
      <c r="N166" s="307">
        <f t="shared" si="70"/>
        <v>0</v>
      </c>
      <c r="O166" s="313">
        <f t="shared" si="71"/>
        <v>0</v>
      </c>
      <c r="P166" s="313">
        <f t="shared" si="72"/>
        <v>0</v>
      </c>
      <c r="Q166" s="313">
        <f t="shared" si="67"/>
        <v>0</v>
      </c>
      <c r="R166" s="872"/>
      <c r="S166" s="254">
        <v>1</v>
      </c>
      <c r="T166" s="304">
        <f t="shared" si="73"/>
        <v>65748264</v>
      </c>
      <c r="U166" s="501">
        <f t="shared" si="66"/>
        <v>65748264</v>
      </c>
      <c r="V166" s="148"/>
    </row>
    <row r="167" spans="2:22" ht="30" customHeight="1" thickBot="1">
      <c r="B167" s="80"/>
      <c r="C167" s="103" t="s">
        <v>8</v>
      </c>
      <c r="D167" s="592"/>
      <c r="E167" s="592"/>
      <c r="F167" s="592"/>
      <c r="G167" s="593"/>
      <c r="H167" s="592"/>
      <c r="I167" s="507"/>
      <c r="J167" s="104"/>
      <c r="K167" s="306">
        <f>SUM(K102:K166)</f>
        <v>543107634.15999997</v>
      </c>
      <c r="L167" s="876"/>
      <c r="M167" s="307"/>
      <c r="N167" s="307"/>
      <c r="O167" s="308">
        <f t="shared" ref="O167:P167" si="75">SUM(O102:O166)</f>
        <v>108581393.10000001</v>
      </c>
      <c r="P167" s="308">
        <f t="shared" si="75"/>
        <v>41431261</v>
      </c>
      <c r="Q167" s="308">
        <f>SUM(Q102:Q166)</f>
        <v>67150132.100000009</v>
      </c>
      <c r="R167" s="872"/>
      <c r="S167" s="305"/>
      <c r="T167" s="305"/>
      <c r="U167" s="506">
        <f>SUM(U102:U166)</f>
        <v>610257766.25999999</v>
      </c>
      <c r="V167" s="284"/>
    </row>
    <row r="168" spans="2:22" ht="30" customHeight="1" thickBot="1">
      <c r="B168" s="80"/>
      <c r="C168" s="886" t="s">
        <v>165</v>
      </c>
      <c r="D168" s="887"/>
      <c r="E168" s="887"/>
      <c r="F168" s="887"/>
      <c r="G168" s="887"/>
      <c r="H168" s="887"/>
      <c r="I168" s="887"/>
      <c r="J168" s="887"/>
      <c r="K168" s="920"/>
      <c r="L168" s="889"/>
      <c r="M168" s="920"/>
      <c r="N168" s="920"/>
      <c r="O168" s="920"/>
      <c r="P168" s="920"/>
      <c r="Q168" s="920"/>
      <c r="R168" s="589"/>
      <c r="S168" s="589"/>
      <c r="T168" s="589"/>
      <c r="U168" s="500"/>
      <c r="V168" s="148"/>
    </row>
    <row r="169" spans="2:22" ht="30" customHeight="1">
      <c r="B169" s="80"/>
      <c r="C169" s="84">
        <v>9.1</v>
      </c>
      <c r="D169" s="251"/>
      <c r="E169" s="251"/>
      <c r="F169" s="251"/>
      <c r="G169" s="419" t="s">
        <v>166</v>
      </c>
      <c r="H169" s="251" t="s">
        <v>25</v>
      </c>
      <c r="I169" s="249">
        <v>535.79999999999995</v>
      </c>
      <c r="J169" s="246">
        <v>83705</v>
      </c>
      <c r="K169" s="140">
        <f t="shared" ref="K169:K180" si="76">I169*J169</f>
        <v>44849138.999999993</v>
      </c>
      <c r="L169" s="876"/>
      <c r="M169" s="307">
        <f t="shared" ref="M169:M180" si="77">+IF(I169&lt;S169,S169-I169,0)</f>
        <v>0</v>
      </c>
      <c r="N169" s="307">
        <f t="shared" ref="N169:N180" si="78">+IF(I169&gt;S169,-S169+I169,0)</f>
        <v>278.96999999999997</v>
      </c>
      <c r="O169" s="313">
        <f t="shared" ref="O169:O180" si="79">+M169*J169</f>
        <v>0</v>
      </c>
      <c r="P169" s="313">
        <f t="shared" ref="P169:P180" si="80">+N169*J169</f>
        <v>23351183.849999998</v>
      </c>
      <c r="Q169" s="313">
        <f t="shared" ref="Q169:Q170" si="81">+O169-P169</f>
        <v>-23351183.849999998</v>
      </c>
      <c r="R169" s="891"/>
      <c r="S169" s="303">
        <f>+'MEMORIAS DE CANTIDADES'!L1659</f>
        <v>256.83</v>
      </c>
      <c r="T169" s="304">
        <f t="shared" ref="T169:T180" si="82">+J169</f>
        <v>83705</v>
      </c>
      <c r="U169" s="501">
        <f t="shared" ref="U169" si="83">+S169*T169</f>
        <v>21497955.149999999</v>
      </c>
      <c r="V169" s="148"/>
    </row>
    <row r="170" spans="2:22" ht="45">
      <c r="B170" s="80"/>
      <c r="C170" s="84">
        <v>9.1999999999999993</v>
      </c>
      <c r="D170" s="99"/>
      <c r="E170" s="99"/>
      <c r="F170" s="99"/>
      <c r="G170" s="98" t="s">
        <v>167</v>
      </c>
      <c r="H170" s="97" t="s">
        <v>25</v>
      </c>
      <c r="I170" s="87">
        <v>377.00000000000006</v>
      </c>
      <c r="J170" s="88">
        <v>124019</v>
      </c>
      <c r="K170" s="140">
        <f t="shared" si="76"/>
        <v>46755163.000000007</v>
      </c>
      <c r="L170" s="876"/>
      <c r="M170" s="307">
        <f t="shared" si="77"/>
        <v>229.06700000000006</v>
      </c>
      <c r="N170" s="307">
        <f t="shared" si="78"/>
        <v>0</v>
      </c>
      <c r="O170" s="313">
        <f t="shared" si="79"/>
        <v>28408660.273000009</v>
      </c>
      <c r="P170" s="313">
        <f t="shared" si="80"/>
        <v>0</v>
      </c>
      <c r="Q170" s="313">
        <f t="shared" si="81"/>
        <v>28408660.273000009</v>
      </c>
      <c r="R170" s="891"/>
      <c r="S170" s="303">
        <f>+'MEMORIAS DE CANTIDADES'!L1682</f>
        <v>606.06700000000012</v>
      </c>
      <c r="T170" s="304">
        <f t="shared" si="82"/>
        <v>124019</v>
      </c>
      <c r="U170" s="501">
        <f t="shared" ref="U170:U180" si="84">+S170*T170</f>
        <v>75163823.273000017</v>
      </c>
      <c r="V170" s="148"/>
    </row>
    <row r="171" spans="2:22" ht="30" customHeight="1">
      <c r="B171" s="80"/>
      <c r="C171" s="84">
        <v>9.3000000000000007</v>
      </c>
      <c r="D171" s="97"/>
      <c r="E171" s="97"/>
      <c r="F171" s="97"/>
      <c r="G171" s="98" t="s">
        <v>168</v>
      </c>
      <c r="H171" s="97" t="s">
        <v>21</v>
      </c>
      <c r="I171" s="87">
        <v>188.50000000000003</v>
      </c>
      <c r="J171" s="88">
        <v>105387</v>
      </c>
      <c r="K171" s="140">
        <f t="shared" si="76"/>
        <v>19865449.500000004</v>
      </c>
      <c r="L171" s="876"/>
      <c r="M171" s="307">
        <f t="shared" si="77"/>
        <v>608.80999999999995</v>
      </c>
      <c r="N171" s="307">
        <f t="shared" si="78"/>
        <v>0</v>
      </c>
      <c r="O171" s="313">
        <f t="shared" si="79"/>
        <v>64160659.469999991</v>
      </c>
      <c r="P171" s="313">
        <f t="shared" si="80"/>
        <v>0</v>
      </c>
      <c r="Q171" s="313">
        <f t="shared" ref="Q171:Q180" si="85">+O171-P171</f>
        <v>64160659.469999991</v>
      </c>
      <c r="R171" s="891"/>
      <c r="S171" s="303">
        <f>+'MEMORIAS DE CANTIDADES'!L1707</f>
        <v>797.31</v>
      </c>
      <c r="T171" s="304">
        <f t="shared" si="82"/>
        <v>105387</v>
      </c>
      <c r="U171" s="501">
        <f t="shared" si="84"/>
        <v>84026108.969999999</v>
      </c>
      <c r="V171" s="148"/>
    </row>
    <row r="172" spans="2:22" ht="30" customHeight="1">
      <c r="B172" s="80"/>
      <c r="C172" s="84">
        <v>9.4</v>
      </c>
      <c r="D172" s="95"/>
      <c r="E172" s="95"/>
      <c r="F172" s="95"/>
      <c r="G172" s="100" t="s">
        <v>169</v>
      </c>
      <c r="H172" s="95" t="s">
        <v>21</v>
      </c>
      <c r="I172" s="87">
        <v>7.1999999999999993</v>
      </c>
      <c r="J172" s="88">
        <v>94459</v>
      </c>
      <c r="K172" s="140">
        <f t="shared" si="76"/>
        <v>680104.79999999993</v>
      </c>
      <c r="L172" s="876"/>
      <c r="M172" s="307">
        <f t="shared" si="77"/>
        <v>0</v>
      </c>
      <c r="N172" s="307">
        <f t="shared" si="78"/>
        <v>0</v>
      </c>
      <c r="O172" s="313">
        <f t="shared" si="79"/>
        <v>0</v>
      </c>
      <c r="P172" s="313">
        <f t="shared" si="80"/>
        <v>0</v>
      </c>
      <c r="Q172" s="313">
        <f t="shared" si="85"/>
        <v>0</v>
      </c>
      <c r="R172" s="891"/>
      <c r="S172" s="303">
        <f>+'MEMORIAS DE CANTIDADES'!L1744</f>
        <v>7.1999999999999993</v>
      </c>
      <c r="T172" s="304">
        <f t="shared" si="82"/>
        <v>94459</v>
      </c>
      <c r="U172" s="501">
        <f t="shared" si="84"/>
        <v>680104.79999999993</v>
      </c>
      <c r="V172" s="148"/>
    </row>
    <row r="173" spans="2:22" ht="30" customHeight="1">
      <c r="B173" s="80"/>
      <c r="C173" s="84">
        <v>9.5</v>
      </c>
      <c r="D173" s="97"/>
      <c r="E173" s="97"/>
      <c r="F173" s="97"/>
      <c r="G173" s="98" t="s">
        <v>170</v>
      </c>
      <c r="H173" s="97" t="s">
        <v>21</v>
      </c>
      <c r="I173" s="87">
        <v>1643</v>
      </c>
      <c r="J173" s="101">
        <v>141371</v>
      </c>
      <c r="K173" s="140">
        <f t="shared" si="76"/>
        <v>232272553</v>
      </c>
      <c r="L173" s="876"/>
      <c r="M173" s="307">
        <f t="shared" si="77"/>
        <v>0</v>
      </c>
      <c r="N173" s="307">
        <f t="shared" si="78"/>
        <v>704</v>
      </c>
      <c r="O173" s="313">
        <f t="shared" si="79"/>
        <v>0</v>
      </c>
      <c r="P173" s="313">
        <f t="shared" si="80"/>
        <v>99525184</v>
      </c>
      <c r="Q173" s="313">
        <f t="shared" si="85"/>
        <v>-99525184</v>
      </c>
      <c r="R173" s="891"/>
      <c r="S173" s="303">
        <f>+'MEMORIAS DE CANTIDADES'!L1756</f>
        <v>939</v>
      </c>
      <c r="T173" s="304">
        <f t="shared" si="82"/>
        <v>141371</v>
      </c>
      <c r="U173" s="501">
        <f t="shared" si="84"/>
        <v>132747369</v>
      </c>
      <c r="V173" s="148"/>
    </row>
    <row r="174" spans="2:22" ht="30" customHeight="1">
      <c r="B174" s="80"/>
      <c r="C174" s="84">
        <v>9.6</v>
      </c>
      <c r="D174" s="95"/>
      <c r="E174" s="95"/>
      <c r="F174" s="95"/>
      <c r="G174" s="100" t="s">
        <v>171</v>
      </c>
      <c r="H174" s="95" t="s">
        <v>21</v>
      </c>
      <c r="I174" s="87">
        <v>1321.1400000000003</v>
      </c>
      <c r="J174" s="101">
        <v>100955</v>
      </c>
      <c r="K174" s="140">
        <f t="shared" si="76"/>
        <v>133375688.70000003</v>
      </c>
      <c r="L174" s="876"/>
      <c r="M174" s="307">
        <f t="shared" si="77"/>
        <v>0</v>
      </c>
      <c r="N174" s="307">
        <f t="shared" si="78"/>
        <v>392.48000000000025</v>
      </c>
      <c r="O174" s="313">
        <f t="shared" si="79"/>
        <v>0</v>
      </c>
      <c r="P174" s="313">
        <f t="shared" si="80"/>
        <v>39622818.400000028</v>
      </c>
      <c r="Q174" s="313">
        <f t="shared" si="85"/>
        <v>-39622818.400000028</v>
      </c>
      <c r="R174" s="891"/>
      <c r="S174" s="303">
        <f>+'MEMORIAS DE CANTIDADES'!L1775</f>
        <v>928.66000000000008</v>
      </c>
      <c r="T174" s="304">
        <f t="shared" si="82"/>
        <v>100955</v>
      </c>
      <c r="U174" s="501">
        <f t="shared" si="84"/>
        <v>93752870.300000012</v>
      </c>
      <c r="V174" s="148"/>
    </row>
    <row r="175" spans="2:22" ht="30" customHeight="1">
      <c r="B175" s="80"/>
      <c r="C175" s="84">
        <v>9.6999999999999993</v>
      </c>
      <c r="D175" s="97"/>
      <c r="E175" s="85"/>
      <c r="F175" s="97"/>
      <c r="G175" s="98" t="s">
        <v>172</v>
      </c>
      <c r="H175" s="97" t="s">
        <v>21</v>
      </c>
      <c r="I175" s="87">
        <v>1258.8940000000002</v>
      </c>
      <c r="J175" s="88">
        <v>16656</v>
      </c>
      <c r="K175" s="140">
        <f t="shared" si="76"/>
        <v>20968138.464000005</v>
      </c>
      <c r="L175" s="876"/>
      <c r="M175" s="307">
        <f t="shared" si="77"/>
        <v>0</v>
      </c>
      <c r="N175" s="307">
        <f t="shared" si="78"/>
        <v>164.19000000000005</v>
      </c>
      <c r="O175" s="313">
        <f t="shared" si="79"/>
        <v>0</v>
      </c>
      <c r="P175" s="313">
        <f t="shared" si="80"/>
        <v>2734748.6400000011</v>
      </c>
      <c r="Q175" s="313">
        <f t="shared" si="85"/>
        <v>-2734748.6400000011</v>
      </c>
      <c r="R175" s="891"/>
      <c r="S175" s="303">
        <f>+'MEMORIAS DE CANTIDADES'!L1807</f>
        <v>1094.7040000000002</v>
      </c>
      <c r="T175" s="304">
        <f t="shared" si="82"/>
        <v>16656</v>
      </c>
      <c r="U175" s="501">
        <f t="shared" si="84"/>
        <v>18233389.824000005</v>
      </c>
      <c r="V175" s="148"/>
    </row>
    <row r="176" spans="2:22" ht="30" customHeight="1">
      <c r="B176" s="80"/>
      <c r="C176" s="84">
        <v>9.8000000000000007</v>
      </c>
      <c r="D176" s="97"/>
      <c r="E176" s="85"/>
      <c r="F176" s="97"/>
      <c r="G176" s="98" t="s">
        <v>173</v>
      </c>
      <c r="H176" s="97" t="s">
        <v>21</v>
      </c>
      <c r="I176" s="87">
        <v>7023.21</v>
      </c>
      <c r="J176" s="88">
        <v>16965</v>
      </c>
      <c r="K176" s="140">
        <f t="shared" si="76"/>
        <v>119148757.65000001</v>
      </c>
      <c r="L176" s="876"/>
      <c r="M176" s="307">
        <f t="shared" si="77"/>
        <v>508.68799999999919</v>
      </c>
      <c r="N176" s="307">
        <f t="shared" si="78"/>
        <v>0</v>
      </c>
      <c r="O176" s="313">
        <f t="shared" si="79"/>
        <v>8629891.9199999869</v>
      </c>
      <c r="P176" s="313">
        <f t="shared" si="80"/>
        <v>0</v>
      </c>
      <c r="Q176" s="313">
        <f t="shared" si="85"/>
        <v>8629891.9199999869</v>
      </c>
      <c r="R176" s="891"/>
      <c r="S176" s="303">
        <f>+'MEMORIAS DE CANTIDADES'!L1861</f>
        <v>7531.8979999999992</v>
      </c>
      <c r="T176" s="304">
        <f t="shared" si="82"/>
        <v>16965</v>
      </c>
      <c r="U176" s="501">
        <f t="shared" si="84"/>
        <v>127778649.56999999</v>
      </c>
      <c r="V176" s="148"/>
    </row>
    <row r="177" spans="2:22" ht="30" customHeight="1">
      <c r="B177" s="80"/>
      <c r="C177" s="84">
        <v>9.9</v>
      </c>
      <c r="D177" s="97"/>
      <c r="E177" s="85"/>
      <c r="F177" s="97"/>
      <c r="G177" s="98" t="s">
        <v>174</v>
      </c>
      <c r="H177" s="97" t="s">
        <v>21</v>
      </c>
      <c r="I177" s="87">
        <v>1650.4959999999999</v>
      </c>
      <c r="J177" s="88">
        <v>70458</v>
      </c>
      <c r="K177" s="140">
        <f t="shared" si="76"/>
        <v>116290647.168</v>
      </c>
      <c r="L177" s="876"/>
      <c r="M177" s="307">
        <f t="shared" si="77"/>
        <v>0</v>
      </c>
      <c r="N177" s="307">
        <f t="shared" si="78"/>
        <v>597.56999999999994</v>
      </c>
      <c r="O177" s="313">
        <f t="shared" si="79"/>
        <v>0</v>
      </c>
      <c r="P177" s="313">
        <f t="shared" si="80"/>
        <v>42103587.059999995</v>
      </c>
      <c r="Q177" s="313">
        <f t="shared" si="85"/>
        <v>-42103587.059999995</v>
      </c>
      <c r="R177" s="891"/>
      <c r="S177" s="303">
        <f>+'MEMORIAS DE CANTIDADES'!L1911</f>
        <v>1052.9259999999999</v>
      </c>
      <c r="T177" s="304">
        <f t="shared" si="82"/>
        <v>70458</v>
      </c>
      <c r="U177" s="501">
        <f t="shared" si="84"/>
        <v>74187060.107999995</v>
      </c>
      <c r="V177" s="148"/>
    </row>
    <row r="178" spans="2:22" ht="30" customHeight="1">
      <c r="B178" s="80"/>
      <c r="C178" s="90">
        <v>9.1</v>
      </c>
      <c r="D178" s="97"/>
      <c r="E178" s="85"/>
      <c r="F178" s="97"/>
      <c r="G178" s="98" t="s">
        <v>175</v>
      </c>
      <c r="H178" s="97" t="s">
        <v>21</v>
      </c>
      <c r="I178" s="87">
        <v>7264.3440000000001</v>
      </c>
      <c r="J178" s="88">
        <v>26433</v>
      </c>
      <c r="K178" s="140">
        <f t="shared" si="76"/>
        <v>192018404.95199999</v>
      </c>
      <c r="L178" s="876"/>
      <c r="M178" s="307">
        <f t="shared" si="77"/>
        <v>0</v>
      </c>
      <c r="N178" s="307">
        <f t="shared" si="78"/>
        <v>121.23400000000038</v>
      </c>
      <c r="O178" s="313">
        <f t="shared" si="79"/>
        <v>0</v>
      </c>
      <c r="P178" s="313">
        <f t="shared" si="80"/>
        <v>3204578.3220000099</v>
      </c>
      <c r="Q178" s="313">
        <f t="shared" si="85"/>
        <v>-3204578.3220000099</v>
      </c>
      <c r="R178" s="891"/>
      <c r="S178" s="303">
        <f>+'MEMORIAS DE CANTIDADES'!L1957</f>
        <v>7143.11</v>
      </c>
      <c r="T178" s="304">
        <f t="shared" si="82"/>
        <v>26433</v>
      </c>
      <c r="U178" s="501">
        <f t="shared" si="84"/>
        <v>188813826.63</v>
      </c>
      <c r="V178" s="148"/>
    </row>
    <row r="179" spans="2:22" ht="30" customHeight="1">
      <c r="B179" s="80"/>
      <c r="C179" s="90">
        <v>9.11</v>
      </c>
      <c r="D179" s="97"/>
      <c r="E179" s="97"/>
      <c r="F179" s="97"/>
      <c r="G179" s="98" t="s">
        <v>176</v>
      </c>
      <c r="H179" s="102" t="s">
        <v>21</v>
      </c>
      <c r="I179" s="87">
        <v>60</v>
      </c>
      <c r="J179" s="88">
        <v>150524</v>
      </c>
      <c r="K179" s="140">
        <f t="shared" si="76"/>
        <v>9031440</v>
      </c>
      <c r="L179" s="876"/>
      <c r="M179" s="307">
        <f t="shared" si="77"/>
        <v>36</v>
      </c>
      <c r="N179" s="307">
        <f t="shared" si="78"/>
        <v>0</v>
      </c>
      <c r="O179" s="313">
        <f t="shared" si="79"/>
        <v>5418864</v>
      </c>
      <c r="P179" s="313">
        <f t="shared" si="80"/>
        <v>0</v>
      </c>
      <c r="Q179" s="313">
        <f t="shared" si="85"/>
        <v>5418864</v>
      </c>
      <c r="R179" s="891"/>
      <c r="S179" s="303">
        <f>+'MEMORIAS DE CANTIDADES'!L2046</f>
        <v>96</v>
      </c>
      <c r="T179" s="304">
        <f t="shared" si="82"/>
        <v>150524</v>
      </c>
      <c r="U179" s="501">
        <f t="shared" si="84"/>
        <v>14450304</v>
      </c>
      <c r="V179" s="148"/>
    </row>
    <row r="180" spans="2:22" ht="30" customHeight="1">
      <c r="B180" s="80"/>
      <c r="C180" s="90">
        <v>9.1199999999999992</v>
      </c>
      <c r="D180" s="97"/>
      <c r="E180" s="97"/>
      <c r="F180" s="97"/>
      <c r="G180" s="98" t="s">
        <v>177</v>
      </c>
      <c r="H180" s="102" t="s">
        <v>65</v>
      </c>
      <c r="I180" s="87">
        <v>937.29000000000008</v>
      </c>
      <c r="J180" s="88">
        <v>46533</v>
      </c>
      <c r="K180" s="140">
        <f t="shared" si="76"/>
        <v>43614915.57</v>
      </c>
      <c r="L180" s="876"/>
      <c r="M180" s="307">
        <f t="shared" si="77"/>
        <v>0</v>
      </c>
      <c r="N180" s="307">
        <f t="shared" si="78"/>
        <v>227.15000000000009</v>
      </c>
      <c r="O180" s="313">
        <f t="shared" si="79"/>
        <v>0</v>
      </c>
      <c r="P180" s="313">
        <f t="shared" si="80"/>
        <v>10569970.950000005</v>
      </c>
      <c r="Q180" s="313">
        <f t="shared" si="85"/>
        <v>-10569970.950000005</v>
      </c>
      <c r="R180" s="891"/>
      <c r="S180" s="303">
        <f>+'MEMORIAS DE CANTIDADES'!L2061</f>
        <v>710.14</v>
      </c>
      <c r="T180" s="304">
        <f t="shared" si="82"/>
        <v>46533</v>
      </c>
      <c r="U180" s="501">
        <f t="shared" si="84"/>
        <v>33044944.620000001</v>
      </c>
      <c r="V180" s="148"/>
    </row>
    <row r="181" spans="2:22" ht="30" customHeight="1" thickBot="1">
      <c r="B181" s="80"/>
      <c r="C181" s="103" t="s">
        <v>8</v>
      </c>
      <c r="D181" s="592"/>
      <c r="E181" s="592"/>
      <c r="F181" s="592"/>
      <c r="G181" s="593"/>
      <c r="H181" s="592"/>
      <c r="I181" s="507"/>
      <c r="J181" s="104"/>
      <c r="K181" s="142">
        <f>SUM(K169:K180)</f>
        <v>978870401.80400014</v>
      </c>
      <c r="L181" s="876"/>
      <c r="M181" s="503"/>
      <c r="N181" s="319"/>
      <c r="O181" s="308">
        <f t="shared" ref="O181:P181" si="86">SUM(O169:O180)</f>
        <v>106618075.66299999</v>
      </c>
      <c r="P181" s="308">
        <f t="shared" si="86"/>
        <v>221112071.22200006</v>
      </c>
      <c r="Q181" s="308">
        <f>SUM(Q169:Q180)</f>
        <v>-114493995.55900005</v>
      </c>
      <c r="R181" s="891"/>
      <c r="S181" s="309"/>
      <c r="T181" s="309"/>
      <c r="U181" s="506">
        <f>SUM(U169:U180)</f>
        <v>864376406.24500012</v>
      </c>
      <c r="V181" s="284"/>
    </row>
    <row r="182" spans="2:22" ht="30" customHeight="1" thickBot="1">
      <c r="B182" s="80"/>
      <c r="C182" s="886" t="s">
        <v>178</v>
      </c>
      <c r="D182" s="887"/>
      <c r="E182" s="887"/>
      <c r="F182" s="887"/>
      <c r="G182" s="887"/>
      <c r="H182" s="887"/>
      <c r="I182" s="887"/>
      <c r="J182" s="887"/>
      <c r="K182" s="887"/>
      <c r="L182" s="889"/>
      <c r="M182" s="887"/>
      <c r="N182" s="887"/>
      <c r="O182" s="920"/>
      <c r="P182" s="920"/>
      <c r="Q182" s="920"/>
      <c r="R182" s="589"/>
      <c r="S182" s="589"/>
      <c r="T182" s="589"/>
      <c r="U182" s="500"/>
      <c r="V182" s="148"/>
    </row>
    <row r="183" spans="2:22" ht="30" customHeight="1">
      <c r="B183" s="80"/>
      <c r="C183" s="106">
        <v>10.1</v>
      </c>
      <c r="D183" s="251"/>
      <c r="E183" s="251"/>
      <c r="F183" s="251"/>
      <c r="G183" s="252" t="s">
        <v>179</v>
      </c>
      <c r="H183" s="251" t="s">
        <v>52</v>
      </c>
      <c r="I183" s="249">
        <v>61.949999999999996</v>
      </c>
      <c r="J183" s="246">
        <v>539844</v>
      </c>
      <c r="K183" s="140">
        <f t="shared" ref="K183:K191" si="87">I183*J183</f>
        <v>33443335.799999997</v>
      </c>
      <c r="L183" s="895"/>
      <c r="M183" s="307">
        <f t="shared" ref="M183:M191" si="88">+IF(I183&lt;S183,S183-I183,0)</f>
        <v>0</v>
      </c>
      <c r="N183" s="307">
        <f t="shared" ref="N183:N191" si="89">+IF(I183&gt;S183,-S183+I183,0)</f>
        <v>8.2900000000000063</v>
      </c>
      <c r="O183" s="313">
        <f t="shared" ref="O183:O191" si="90">+M183*J183</f>
        <v>0</v>
      </c>
      <c r="P183" s="313">
        <f t="shared" ref="P183:P191" si="91">+N183*J183</f>
        <v>4475306.7600000035</v>
      </c>
      <c r="Q183" s="313">
        <f t="shared" ref="Q183:Q184" si="92">+O183-P183</f>
        <v>-4475306.7600000035</v>
      </c>
      <c r="R183" s="891"/>
      <c r="S183" s="303">
        <f>+'MEMORIAS DE CANTIDADES'!L2106</f>
        <v>53.659999999999989</v>
      </c>
      <c r="T183" s="304">
        <f t="shared" ref="T183:T191" si="93">+J183</f>
        <v>539844</v>
      </c>
      <c r="U183" s="501">
        <f t="shared" ref="U183" si="94">+S183*T183</f>
        <v>28968029.039999995</v>
      </c>
      <c r="V183" s="148"/>
    </row>
    <row r="184" spans="2:22" ht="30" customHeight="1">
      <c r="B184" s="80"/>
      <c r="C184" s="106">
        <v>10.199999999999999</v>
      </c>
      <c r="D184" s="99"/>
      <c r="E184" s="99"/>
      <c r="F184" s="99"/>
      <c r="G184" s="98" t="s">
        <v>180</v>
      </c>
      <c r="H184" s="97" t="s">
        <v>29</v>
      </c>
      <c r="I184" s="87">
        <v>43</v>
      </c>
      <c r="J184" s="88">
        <v>1450691</v>
      </c>
      <c r="K184" s="140">
        <f t="shared" si="87"/>
        <v>62379713</v>
      </c>
      <c r="L184" s="896"/>
      <c r="M184" s="307">
        <f t="shared" si="88"/>
        <v>0</v>
      </c>
      <c r="N184" s="307">
        <f t="shared" si="89"/>
        <v>0</v>
      </c>
      <c r="O184" s="313">
        <f t="shared" si="90"/>
        <v>0</v>
      </c>
      <c r="P184" s="313">
        <f t="shared" si="91"/>
        <v>0</v>
      </c>
      <c r="Q184" s="313">
        <f t="shared" si="92"/>
        <v>0</v>
      </c>
      <c r="R184" s="891"/>
      <c r="S184" s="303">
        <f>+'MEMORIAS DE CANTIDADES'!L2129</f>
        <v>43</v>
      </c>
      <c r="T184" s="304">
        <f t="shared" si="93"/>
        <v>1450691</v>
      </c>
      <c r="U184" s="501">
        <f t="shared" ref="U184:U191" si="95">+S184*T184</f>
        <v>62379713</v>
      </c>
      <c r="V184" s="148"/>
    </row>
    <row r="185" spans="2:22" ht="30">
      <c r="B185" s="80"/>
      <c r="C185" s="106">
        <v>10.3</v>
      </c>
      <c r="D185" s="97"/>
      <c r="E185" s="97"/>
      <c r="F185" s="97"/>
      <c r="G185" s="98" t="s">
        <v>181</v>
      </c>
      <c r="H185" s="97" t="s">
        <v>29</v>
      </c>
      <c r="I185" s="87">
        <v>3</v>
      </c>
      <c r="J185" s="88">
        <v>1418517</v>
      </c>
      <c r="K185" s="140">
        <f t="shared" si="87"/>
        <v>4255551</v>
      </c>
      <c r="L185" s="896"/>
      <c r="M185" s="307">
        <f t="shared" si="88"/>
        <v>0</v>
      </c>
      <c r="N185" s="307">
        <f t="shared" si="89"/>
        <v>1</v>
      </c>
      <c r="O185" s="313">
        <f t="shared" si="90"/>
        <v>0</v>
      </c>
      <c r="P185" s="313">
        <f t="shared" si="91"/>
        <v>1418517</v>
      </c>
      <c r="Q185" s="313">
        <f t="shared" ref="Q185:Q191" si="96">+O185-P185</f>
        <v>-1418517</v>
      </c>
      <c r="R185" s="891"/>
      <c r="S185" s="303">
        <f>+'MEMORIAS DE CANTIDADES'!L2154</f>
        <v>2</v>
      </c>
      <c r="T185" s="304">
        <f t="shared" si="93"/>
        <v>1418517</v>
      </c>
      <c r="U185" s="501">
        <f t="shared" si="95"/>
        <v>2837034</v>
      </c>
      <c r="V185" s="148"/>
    </row>
    <row r="186" spans="2:22" ht="30" customHeight="1">
      <c r="B186" s="80"/>
      <c r="C186" s="446">
        <v>10.4</v>
      </c>
      <c r="D186" s="421"/>
      <c r="E186" s="421"/>
      <c r="F186" s="421"/>
      <c r="G186" s="420" t="s">
        <v>182</v>
      </c>
      <c r="H186" s="421" t="s">
        <v>29</v>
      </c>
      <c r="I186" s="87">
        <v>3</v>
      </c>
      <c r="J186" s="88">
        <v>7055952</v>
      </c>
      <c r="K186" s="140">
        <f t="shared" si="87"/>
        <v>21167856</v>
      </c>
      <c r="L186" s="896"/>
      <c r="M186" s="307">
        <f t="shared" si="88"/>
        <v>0</v>
      </c>
      <c r="N186" s="307">
        <f t="shared" si="89"/>
        <v>1</v>
      </c>
      <c r="O186" s="313">
        <f t="shared" si="90"/>
        <v>0</v>
      </c>
      <c r="P186" s="313">
        <f t="shared" si="91"/>
        <v>7055952</v>
      </c>
      <c r="Q186" s="313">
        <f t="shared" si="96"/>
        <v>-7055952</v>
      </c>
      <c r="R186" s="891"/>
      <c r="S186" s="303">
        <f>+'MEMORIAS DE CANTIDADES'!L2154</f>
        <v>2</v>
      </c>
      <c r="T186" s="304">
        <f t="shared" si="93"/>
        <v>7055952</v>
      </c>
      <c r="U186" s="501">
        <f t="shared" si="95"/>
        <v>14111904</v>
      </c>
      <c r="V186" s="148"/>
    </row>
    <row r="187" spans="2:22" ht="30">
      <c r="B187" s="80"/>
      <c r="C187" s="106">
        <v>10.5</v>
      </c>
      <c r="D187" s="97"/>
      <c r="E187" s="97"/>
      <c r="F187" s="97"/>
      <c r="G187" s="98" t="s">
        <v>183</v>
      </c>
      <c r="H187" s="97" t="s">
        <v>29</v>
      </c>
      <c r="I187" s="87">
        <v>4</v>
      </c>
      <c r="J187" s="101">
        <v>2996349</v>
      </c>
      <c r="K187" s="140">
        <f t="shared" si="87"/>
        <v>11985396</v>
      </c>
      <c r="L187" s="896"/>
      <c r="M187" s="307">
        <f t="shared" si="88"/>
        <v>0</v>
      </c>
      <c r="N187" s="307">
        <f t="shared" si="89"/>
        <v>0</v>
      </c>
      <c r="O187" s="313">
        <f t="shared" si="90"/>
        <v>0</v>
      </c>
      <c r="P187" s="313">
        <f t="shared" si="91"/>
        <v>0</v>
      </c>
      <c r="Q187" s="313">
        <f t="shared" si="96"/>
        <v>0</v>
      </c>
      <c r="R187" s="891"/>
      <c r="S187" s="303">
        <f>+'MEMORIAS DE CANTIDADES'!L2166</f>
        <v>4</v>
      </c>
      <c r="T187" s="304">
        <f t="shared" si="93"/>
        <v>2996349</v>
      </c>
      <c r="U187" s="501">
        <f t="shared" si="95"/>
        <v>11985396</v>
      </c>
      <c r="V187" s="148"/>
    </row>
    <row r="188" spans="2:22" ht="30">
      <c r="B188" s="80"/>
      <c r="C188" s="106">
        <v>10.6</v>
      </c>
      <c r="D188" s="95"/>
      <c r="E188" s="95"/>
      <c r="F188" s="95"/>
      <c r="G188" s="100" t="s">
        <v>184</v>
      </c>
      <c r="H188" s="95" t="s">
        <v>65</v>
      </c>
      <c r="I188" s="87">
        <v>268.60000000000002</v>
      </c>
      <c r="J188" s="101">
        <v>409034</v>
      </c>
      <c r="K188" s="140">
        <f t="shared" si="87"/>
        <v>109866532.40000001</v>
      </c>
      <c r="L188" s="896"/>
      <c r="M188" s="307">
        <f t="shared" si="88"/>
        <v>75</v>
      </c>
      <c r="N188" s="307">
        <f t="shared" si="89"/>
        <v>0</v>
      </c>
      <c r="O188" s="313">
        <f t="shared" si="90"/>
        <v>30677550</v>
      </c>
      <c r="P188" s="313">
        <f t="shared" si="91"/>
        <v>0</v>
      </c>
      <c r="Q188" s="313">
        <f t="shared" si="96"/>
        <v>30677550</v>
      </c>
      <c r="R188" s="891"/>
      <c r="S188" s="303">
        <f>+'MEMORIAS DE CANTIDADES'!L2178</f>
        <v>343.6</v>
      </c>
      <c r="T188" s="304">
        <f t="shared" si="93"/>
        <v>409034</v>
      </c>
      <c r="U188" s="501">
        <f t="shared" si="95"/>
        <v>140544082.40000001</v>
      </c>
      <c r="V188" s="148"/>
    </row>
    <row r="189" spans="2:22" ht="45">
      <c r="B189" s="80"/>
      <c r="C189" s="106">
        <v>10.7</v>
      </c>
      <c r="D189" s="97"/>
      <c r="E189" s="85"/>
      <c r="F189" s="97"/>
      <c r="G189" s="98" t="s">
        <v>185</v>
      </c>
      <c r="H189" s="97" t="s">
        <v>21</v>
      </c>
      <c r="I189" s="87">
        <v>237.60000000000002</v>
      </c>
      <c r="J189" s="88">
        <v>954494</v>
      </c>
      <c r="K189" s="140">
        <f t="shared" si="87"/>
        <v>226787774.40000004</v>
      </c>
      <c r="L189" s="896"/>
      <c r="M189" s="307">
        <f t="shared" si="88"/>
        <v>0</v>
      </c>
      <c r="N189" s="307">
        <f t="shared" si="89"/>
        <v>237.60000000000002</v>
      </c>
      <c r="O189" s="313">
        <f t="shared" si="90"/>
        <v>0</v>
      </c>
      <c r="P189" s="313">
        <f t="shared" si="91"/>
        <v>226787774.40000004</v>
      </c>
      <c r="Q189" s="313">
        <f t="shared" si="96"/>
        <v>-226787774.40000004</v>
      </c>
      <c r="R189" s="891"/>
      <c r="S189" s="303">
        <v>0</v>
      </c>
      <c r="T189" s="304">
        <f t="shared" si="93"/>
        <v>954494</v>
      </c>
      <c r="U189" s="501">
        <f t="shared" si="95"/>
        <v>0</v>
      </c>
      <c r="V189" s="148"/>
    </row>
    <row r="190" spans="2:22" ht="45">
      <c r="B190" s="80"/>
      <c r="C190" s="106">
        <v>10.8</v>
      </c>
      <c r="D190" s="97"/>
      <c r="E190" s="85"/>
      <c r="F190" s="97"/>
      <c r="G190" s="98" t="s">
        <v>874</v>
      </c>
      <c r="H190" s="97" t="s">
        <v>29</v>
      </c>
      <c r="I190" s="87">
        <v>86</v>
      </c>
      <c r="J190" s="88">
        <v>1317551</v>
      </c>
      <c r="K190" s="140">
        <f t="shared" si="87"/>
        <v>113309386</v>
      </c>
      <c r="L190" s="896"/>
      <c r="M190" s="307">
        <f t="shared" si="88"/>
        <v>0</v>
      </c>
      <c r="N190" s="307">
        <f t="shared" si="89"/>
        <v>86</v>
      </c>
      <c r="O190" s="313">
        <f t="shared" si="90"/>
        <v>0</v>
      </c>
      <c r="P190" s="313">
        <f t="shared" si="91"/>
        <v>113309386</v>
      </c>
      <c r="Q190" s="313">
        <f t="shared" si="96"/>
        <v>-113309386</v>
      </c>
      <c r="R190" s="891"/>
      <c r="S190" s="303">
        <v>0</v>
      </c>
      <c r="T190" s="304">
        <f t="shared" si="93"/>
        <v>1317551</v>
      </c>
      <c r="U190" s="501">
        <f t="shared" si="95"/>
        <v>0</v>
      </c>
      <c r="V190" s="148"/>
    </row>
    <row r="191" spans="2:22" ht="30">
      <c r="B191" s="80"/>
      <c r="C191" s="106">
        <v>10.9</v>
      </c>
      <c r="D191" s="97"/>
      <c r="E191" s="85"/>
      <c r="F191" s="97"/>
      <c r="G191" s="98" t="s">
        <v>186</v>
      </c>
      <c r="H191" s="97" t="s">
        <v>29</v>
      </c>
      <c r="I191" s="87">
        <v>34</v>
      </c>
      <c r="J191" s="88">
        <v>684731</v>
      </c>
      <c r="K191" s="140">
        <f t="shared" si="87"/>
        <v>23280854</v>
      </c>
      <c r="L191" s="896"/>
      <c r="M191" s="307">
        <f t="shared" si="88"/>
        <v>0</v>
      </c>
      <c r="N191" s="307">
        <f t="shared" si="89"/>
        <v>34</v>
      </c>
      <c r="O191" s="313">
        <f t="shared" si="90"/>
        <v>0</v>
      </c>
      <c r="P191" s="313">
        <f t="shared" si="91"/>
        <v>23280854</v>
      </c>
      <c r="Q191" s="313">
        <f t="shared" si="96"/>
        <v>-23280854</v>
      </c>
      <c r="R191" s="891"/>
      <c r="S191" s="303">
        <v>0</v>
      </c>
      <c r="T191" s="304">
        <f t="shared" si="93"/>
        <v>684731</v>
      </c>
      <c r="U191" s="501">
        <f t="shared" si="95"/>
        <v>0</v>
      </c>
      <c r="V191" s="148"/>
    </row>
    <row r="192" spans="2:22" ht="30" customHeight="1" thickBot="1">
      <c r="B192" s="80"/>
      <c r="C192" s="103" t="s">
        <v>8</v>
      </c>
      <c r="D192" s="592"/>
      <c r="E192" s="592"/>
      <c r="F192" s="592"/>
      <c r="G192" s="593"/>
      <c r="H192" s="592"/>
      <c r="I192" s="507"/>
      <c r="J192" s="104"/>
      <c r="K192" s="142">
        <f>SUM(K183:K191)</f>
        <v>606476398.60000002</v>
      </c>
      <c r="L192" s="897"/>
      <c r="M192" s="503"/>
      <c r="N192" s="319"/>
      <c r="O192" s="308">
        <f>SUM(O183:O191)</f>
        <v>30677550</v>
      </c>
      <c r="P192" s="308">
        <f>SUM(P183:P191)</f>
        <v>376327790.16000003</v>
      </c>
      <c r="Q192" s="308">
        <f>SUM(Q183:Q191)</f>
        <v>-345650240.16000003</v>
      </c>
      <c r="R192" s="891"/>
      <c r="S192" s="309"/>
      <c r="T192" s="309"/>
      <c r="U192" s="506">
        <f>SUM(U183:U191)</f>
        <v>260826158.44</v>
      </c>
      <c r="V192" s="284"/>
    </row>
    <row r="193" spans="2:22" ht="30" customHeight="1" thickBot="1">
      <c r="B193" s="80"/>
      <c r="C193" s="886" t="s">
        <v>187</v>
      </c>
      <c r="D193" s="887"/>
      <c r="E193" s="887"/>
      <c r="F193" s="887"/>
      <c r="G193" s="887"/>
      <c r="H193" s="887"/>
      <c r="I193" s="887"/>
      <c r="J193" s="887"/>
      <c r="K193" s="887"/>
      <c r="L193" s="889"/>
      <c r="M193" s="887"/>
      <c r="N193" s="887"/>
      <c r="O193" s="920"/>
      <c r="P193" s="920"/>
      <c r="Q193" s="920"/>
      <c r="R193" s="589"/>
      <c r="S193" s="589"/>
      <c r="T193" s="589"/>
      <c r="U193" s="500"/>
      <c r="V193" s="148"/>
    </row>
    <row r="194" spans="2:22" ht="30" customHeight="1">
      <c r="B194" s="80"/>
      <c r="C194" s="84">
        <v>11.1</v>
      </c>
      <c r="D194" s="251"/>
      <c r="E194" s="251"/>
      <c r="F194" s="251"/>
      <c r="G194" s="252" t="s">
        <v>188</v>
      </c>
      <c r="H194" s="251" t="s">
        <v>29</v>
      </c>
      <c r="I194" s="249">
        <v>71</v>
      </c>
      <c r="J194" s="246">
        <v>577327</v>
      </c>
      <c r="K194" s="140">
        <f t="shared" ref="K194:K205" si="97">I194*J194</f>
        <v>40990217</v>
      </c>
      <c r="L194" s="876"/>
      <c r="M194" s="509">
        <f t="shared" ref="M194:M205" si="98">+IF(I194&lt;S194,S194-I194,0)</f>
        <v>0</v>
      </c>
      <c r="N194" s="311">
        <f t="shared" ref="N194:N205" si="99">+IF(I194&gt;S194,-S194+I194,0)</f>
        <v>16</v>
      </c>
      <c r="O194" s="312">
        <f t="shared" ref="O194:O205" si="100">+M194*J194</f>
        <v>0</v>
      </c>
      <c r="P194" s="312">
        <f t="shared" ref="P194:P205" si="101">+N194*J194</f>
        <v>9237232</v>
      </c>
      <c r="Q194" s="312">
        <f t="shared" ref="Q194:Q196" si="102">+O194-P194</f>
        <v>-9237232</v>
      </c>
      <c r="R194" s="891"/>
      <c r="S194" s="303">
        <f>+'MEMORIAS DE CANTIDADES'!L2226</f>
        <v>55</v>
      </c>
      <c r="T194" s="304">
        <f t="shared" ref="T194:T205" si="103">+J194</f>
        <v>577327</v>
      </c>
      <c r="U194" s="501">
        <f t="shared" ref="U194" si="104">+S194*T194</f>
        <v>31752985</v>
      </c>
      <c r="V194" s="148"/>
    </row>
    <row r="195" spans="2:22" ht="30" customHeight="1">
      <c r="B195" s="80"/>
      <c r="C195" s="84">
        <v>11.2</v>
      </c>
      <c r="D195" s="99"/>
      <c r="E195" s="99"/>
      <c r="F195" s="99"/>
      <c r="G195" s="98" t="s">
        <v>189</v>
      </c>
      <c r="H195" s="97" t="s">
        <v>29</v>
      </c>
      <c r="I195" s="87">
        <v>48</v>
      </c>
      <c r="J195" s="88">
        <v>675612</v>
      </c>
      <c r="K195" s="140">
        <f t="shared" si="97"/>
        <v>32429376</v>
      </c>
      <c r="L195" s="876"/>
      <c r="M195" s="509">
        <f t="shared" si="98"/>
        <v>0</v>
      </c>
      <c r="N195" s="311">
        <f t="shared" si="99"/>
        <v>4</v>
      </c>
      <c r="O195" s="312">
        <f t="shared" si="100"/>
        <v>0</v>
      </c>
      <c r="P195" s="312">
        <f t="shared" si="101"/>
        <v>2702448</v>
      </c>
      <c r="Q195" s="312">
        <f t="shared" si="102"/>
        <v>-2702448</v>
      </c>
      <c r="R195" s="891"/>
      <c r="S195" s="303">
        <f>+'MEMORIAS DE CANTIDADES'!L2238</f>
        <v>44</v>
      </c>
      <c r="T195" s="304">
        <f t="shared" si="103"/>
        <v>675612</v>
      </c>
      <c r="U195" s="501">
        <f t="shared" ref="U195:U205" si="105">+S195*T195</f>
        <v>29726928</v>
      </c>
      <c r="V195" s="148"/>
    </row>
    <row r="196" spans="2:22" ht="30" customHeight="1">
      <c r="B196" s="80"/>
      <c r="C196" s="84">
        <v>11.3</v>
      </c>
      <c r="D196" s="97"/>
      <c r="E196" s="97"/>
      <c r="F196" s="97"/>
      <c r="G196" s="98" t="s">
        <v>190</v>
      </c>
      <c r="H196" s="97" t="s">
        <v>29</v>
      </c>
      <c r="I196" s="87">
        <v>70</v>
      </c>
      <c r="J196" s="88">
        <v>619289</v>
      </c>
      <c r="K196" s="140">
        <f t="shared" si="97"/>
        <v>43350230</v>
      </c>
      <c r="L196" s="876"/>
      <c r="M196" s="509">
        <f t="shared" si="98"/>
        <v>0</v>
      </c>
      <c r="N196" s="311">
        <f t="shared" si="99"/>
        <v>18</v>
      </c>
      <c r="O196" s="312">
        <f t="shared" si="100"/>
        <v>0</v>
      </c>
      <c r="P196" s="312">
        <f t="shared" si="101"/>
        <v>11147202</v>
      </c>
      <c r="Q196" s="312">
        <f t="shared" si="102"/>
        <v>-11147202</v>
      </c>
      <c r="R196" s="891"/>
      <c r="S196" s="303">
        <f>+'MEMORIAS DE CANTIDADES'!L2250</f>
        <v>52</v>
      </c>
      <c r="T196" s="304">
        <f t="shared" si="103"/>
        <v>619289</v>
      </c>
      <c r="U196" s="501">
        <f t="shared" si="105"/>
        <v>32203028</v>
      </c>
      <c r="V196" s="148"/>
    </row>
    <row r="197" spans="2:22" ht="30" customHeight="1">
      <c r="B197" s="80"/>
      <c r="C197" s="84">
        <v>11.4</v>
      </c>
      <c r="D197" s="95"/>
      <c r="E197" s="95"/>
      <c r="F197" s="95"/>
      <c r="G197" s="100" t="s">
        <v>191</v>
      </c>
      <c r="H197" s="95" t="s">
        <v>29</v>
      </c>
      <c r="I197" s="87">
        <v>8</v>
      </c>
      <c r="J197" s="88">
        <v>1188456</v>
      </c>
      <c r="K197" s="140">
        <f t="shared" si="97"/>
        <v>9507648</v>
      </c>
      <c r="L197" s="876"/>
      <c r="M197" s="509">
        <f t="shared" si="98"/>
        <v>0</v>
      </c>
      <c r="N197" s="311">
        <f t="shared" si="99"/>
        <v>2</v>
      </c>
      <c r="O197" s="312">
        <f t="shared" si="100"/>
        <v>0</v>
      </c>
      <c r="P197" s="312">
        <f t="shared" si="101"/>
        <v>2376912</v>
      </c>
      <c r="Q197" s="312">
        <f t="shared" ref="Q197:Q205" si="106">+O197-P197</f>
        <v>-2376912</v>
      </c>
      <c r="R197" s="891"/>
      <c r="S197" s="303">
        <f>+'MEMORIAS DE CANTIDADES'!L2262</f>
        <v>6</v>
      </c>
      <c r="T197" s="304">
        <f t="shared" si="103"/>
        <v>1188456</v>
      </c>
      <c r="U197" s="501">
        <f t="shared" si="105"/>
        <v>7130736</v>
      </c>
      <c r="V197" s="148"/>
    </row>
    <row r="198" spans="2:22" ht="30" customHeight="1">
      <c r="B198" s="80"/>
      <c r="C198" s="84">
        <v>11.5</v>
      </c>
      <c r="D198" s="97"/>
      <c r="E198" s="97"/>
      <c r="F198" s="97"/>
      <c r="G198" s="98" t="s">
        <v>192</v>
      </c>
      <c r="H198" s="97" t="s">
        <v>29</v>
      </c>
      <c r="I198" s="87">
        <v>31</v>
      </c>
      <c r="J198" s="101">
        <v>328849</v>
      </c>
      <c r="K198" s="140">
        <f t="shared" si="97"/>
        <v>10194319</v>
      </c>
      <c r="L198" s="876"/>
      <c r="M198" s="509">
        <f t="shared" si="98"/>
        <v>0</v>
      </c>
      <c r="N198" s="311">
        <f t="shared" si="99"/>
        <v>10</v>
      </c>
      <c r="O198" s="312">
        <f t="shared" si="100"/>
        <v>0</v>
      </c>
      <c r="P198" s="312">
        <f t="shared" si="101"/>
        <v>3288490</v>
      </c>
      <c r="Q198" s="312">
        <f t="shared" si="106"/>
        <v>-3288490</v>
      </c>
      <c r="R198" s="891"/>
      <c r="S198" s="303">
        <f>+'MEMORIAS DE CANTIDADES'!L2275</f>
        <v>21</v>
      </c>
      <c r="T198" s="304">
        <f t="shared" si="103"/>
        <v>328849</v>
      </c>
      <c r="U198" s="501">
        <f t="shared" si="105"/>
        <v>6905829</v>
      </c>
      <c r="V198" s="148"/>
    </row>
    <row r="199" spans="2:22" ht="30" customHeight="1">
      <c r="B199" s="80"/>
      <c r="C199" s="84">
        <v>11.6</v>
      </c>
      <c r="D199" s="95"/>
      <c r="E199" s="95"/>
      <c r="F199" s="95"/>
      <c r="G199" s="100" t="s">
        <v>193</v>
      </c>
      <c r="H199" s="95" t="s">
        <v>29</v>
      </c>
      <c r="I199" s="87">
        <v>31</v>
      </c>
      <c r="J199" s="101">
        <v>260221</v>
      </c>
      <c r="K199" s="140">
        <f t="shared" si="97"/>
        <v>8066851</v>
      </c>
      <c r="L199" s="876"/>
      <c r="M199" s="509">
        <f t="shared" si="98"/>
        <v>0</v>
      </c>
      <c r="N199" s="311">
        <f t="shared" si="99"/>
        <v>10</v>
      </c>
      <c r="O199" s="312">
        <f t="shared" si="100"/>
        <v>0</v>
      </c>
      <c r="P199" s="312">
        <f t="shared" si="101"/>
        <v>2602210</v>
      </c>
      <c r="Q199" s="312">
        <f t="shared" si="106"/>
        <v>-2602210</v>
      </c>
      <c r="R199" s="891"/>
      <c r="S199" s="303">
        <f>+'MEMORIAS DE CANTIDADES'!L2287</f>
        <v>21</v>
      </c>
      <c r="T199" s="304">
        <f t="shared" si="103"/>
        <v>260221</v>
      </c>
      <c r="U199" s="501">
        <f t="shared" si="105"/>
        <v>5464641</v>
      </c>
      <c r="V199" s="148"/>
    </row>
    <row r="200" spans="2:22" ht="30" customHeight="1">
      <c r="B200" s="80"/>
      <c r="C200" s="84">
        <v>11.7</v>
      </c>
      <c r="D200" s="97"/>
      <c r="E200" s="85"/>
      <c r="F200" s="97"/>
      <c r="G200" s="98" t="s">
        <v>194</v>
      </c>
      <c r="H200" s="97" t="s">
        <v>29</v>
      </c>
      <c r="I200" s="87">
        <v>78</v>
      </c>
      <c r="J200" s="88">
        <v>175662</v>
      </c>
      <c r="K200" s="140">
        <f t="shared" si="97"/>
        <v>13701636</v>
      </c>
      <c r="L200" s="876"/>
      <c r="M200" s="509">
        <f t="shared" si="98"/>
        <v>0</v>
      </c>
      <c r="N200" s="311">
        <f t="shared" si="99"/>
        <v>21</v>
      </c>
      <c r="O200" s="312">
        <f t="shared" si="100"/>
        <v>0</v>
      </c>
      <c r="P200" s="312">
        <f t="shared" si="101"/>
        <v>3688902</v>
      </c>
      <c r="Q200" s="312">
        <f t="shared" si="106"/>
        <v>-3688902</v>
      </c>
      <c r="R200" s="891"/>
      <c r="S200" s="303">
        <f>+'MEMORIAS DE CANTIDADES'!L2299</f>
        <v>57</v>
      </c>
      <c r="T200" s="304">
        <f t="shared" si="103"/>
        <v>175662</v>
      </c>
      <c r="U200" s="501">
        <f t="shared" si="105"/>
        <v>10012734</v>
      </c>
      <c r="V200" s="148"/>
    </row>
    <row r="201" spans="2:22" ht="30" customHeight="1">
      <c r="B201" s="80"/>
      <c r="C201" s="84">
        <v>11.8</v>
      </c>
      <c r="D201" s="97"/>
      <c r="E201" s="85"/>
      <c r="F201" s="97"/>
      <c r="G201" s="98" t="s">
        <v>195</v>
      </c>
      <c r="H201" s="97" t="s">
        <v>29</v>
      </c>
      <c r="I201" s="87">
        <v>30</v>
      </c>
      <c r="J201" s="88">
        <v>331412</v>
      </c>
      <c r="K201" s="140">
        <f t="shared" si="97"/>
        <v>9942360</v>
      </c>
      <c r="L201" s="876"/>
      <c r="M201" s="509">
        <f t="shared" si="98"/>
        <v>0</v>
      </c>
      <c r="N201" s="311">
        <f t="shared" si="99"/>
        <v>6</v>
      </c>
      <c r="O201" s="312">
        <f t="shared" si="100"/>
        <v>0</v>
      </c>
      <c r="P201" s="312">
        <f t="shared" si="101"/>
        <v>1988472</v>
      </c>
      <c r="Q201" s="312">
        <f t="shared" si="106"/>
        <v>-1988472</v>
      </c>
      <c r="R201" s="891"/>
      <c r="S201" s="303">
        <f>+'MEMORIAS DE CANTIDADES'!L2312</f>
        <v>24</v>
      </c>
      <c r="T201" s="304">
        <f t="shared" si="103"/>
        <v>331412</v>
      </c>
      <c r="U201" s="501">
        <f t="shared" si="105"/>
        <v>7953888</v>
      </c>
      <c r="V201" s="148"/>
    </row>
    <row r="202" spans="2:22" ht="30" customHeight="1">
      <c r="B202" s="80"/>
      <c r="C202" s="84">
        <v>11.9</v>
      </c>
      <c r="D202" s="97"/>
      <c r="E202" s="85"/>
      <c r="F202" s="97"/>
      <c r="G202" s="98" t="s">
        <v>196</v>
      </c>
      <c r="H202" s="97" t="s">
        <v>29</v>
      </c>
      <c r="I202" s="87">
        <v>30</v>
      </c>
      <c r="J202" s="88">
        <v>225942</v>
      </c>
      <c r="K202" s="140">
        <f t="shared" si="97"/>
        <v>6778260</v>
      </c>
      <c r="L202" s="876"/>
      <c r="M202" s="509">
        <f t="shared" si="98"/>
        <v>0</v>
      </c>
      <c r="N202" s="311">
        <f t="shared" si="99"/>
        <v>6</v>
      </c>
      <c r="O202" s="312">
        <f t="shared" si="100"/>
        <v>0</v>
      </c>
      <c r="P202" s="312">
        <f t="shared" si="101"/>
        <v>1355652</v>
      </c>
      <c r="Q202" s="312">
        <f t="shared" si="106"/>
        <v>-1355652</v>
      </c>
      <c r="R202" s="891"/>
      <c r="S202" s="303">
        <f>+'MEMORIAS DE CANTIDADES'!L2325</f>
        <v>24</v>
      </c>
      <c r="T202" s="304">
        <f t="shared" si="103"/>
        <v>225942</v>
      </c>
      <c r="U202" s="501">
        <f t="shared" si="105"/>
        <v>5422608</v>
      </c>
      <c r="V202" s="148"/>
    </row>
    <row r="203" spans="2:22" ht="30" customHeight="1">
      <c r="B203" s="80"/>
      <c r="C203" s="90">
        <v>11.1</v>
      </c>
      <c r="D203" s="97"/>
      <c r="E203" s="85"/>
      <c r="F203" s="97"/>
      <c r="G203" s="98" t="s">
        <v>197</v>
      </c>
      <c r="H203" s="97" t="s">
        <v>29</v>
      </c>
      <c r="I203" s="87">
        <v>70</v>
      </c>
      <c r="J203" s="88">
        <v>75351</v>
      </c>
      <c r="K203" s="140">
        <f t="shared" si="97"/>
        <v>5274570</v>
      </c>
      <c r="L203" s="876"/>
      <c r="M203" s="509">
        <f t="shared" si="98"/>
        <v>0</v>
      </c>
      <c r="N203" s="311">
        <f t="shared" si="99"/>
        <v>19</v>
      </c>
      <c r="O203" s="312">
        <f t="shared" si="100"/>
        <v>0</v>
      </c>
      <c r="P203" s="312">
        <f t="shared" si="101"/>
        <v>1431669</v>
      </c>
      <c r="Q203" s="312">
        <f t="shared" si="106"/>
        <v>-1431669</v>
      </c>
      <c r="R203" s="891"/>
      <c r="S203" s="303">
        <f>+'MEMORIAS DE CANTIDADES'!L2337</f>
        <v>51</v>
      </c>
      <c r="T203" s="304">
        <f t="shared" si="103"/>
        <v>75351</v>
      </c>
      <c r="U203" s="501">
        <f t="shared" si="105"/>
        <v>3842901</v>
      </c>
      <c r="V203" s="148"/>
    </row>
    <row r="204" spans="2:22" ht="30" customHeight="1">
      <c r="B204" s="80"/>
      <c r="C204" s="90">
        <v>11.11</v>
      </c>
      <c r="D204" s="97"/>
      <c r="E204" s="97"/>
      <c r="F204" s="97"/>
      <c r="G204" s="98" t="s">
        <v>198</v>
      </c>
      <c r="H204" s="102" t="s">
        <v>29</v>
      </c>
      <c r="I204" s="87">
        <v>8</v>
      </c>
      <c r="J204" s="88">
        <v>612593</v>
      </c>
      <c r="K204" s="140">
        <f t="shared" si="97"/>
        <v>4900744</v>
      </c>
      <c r="L204" s="876"/>
      <c r="M204" s="509">
        <f t="shared" si="98"/>
        <v>0</v>
      </c>
      <c r="N204" s="311">
        <f t="shared" si="99"/>
        <v>2</v>
      </c>
      <c r="O204" s="312">
        <f t="shared" si="100"/>
        <v>0</v>
      </c>
      <c r="P204" s="312">
        <f t="shared" si="101"/>
        <v>1225186</v>
      </c>
      <c r="Q204" s="312">
        <f t="shared" si="106"/>
        <v>-1225186</v>
      </c>
      <c r="R204" s="891"/>
      <c r="S204" s="303">
        <f>+'MEMORIAS DE CANTIDADES'!L2348</f>
        <v>6</v>
      </c>
      <c r="T204" s="304">
        <f t="shared" si="103"/>
        <v>612593</v>
      </c>
      <c r="U204" s="501">
        <f t="shared" si="105"/>
        <v>3675558</v>
      </c>
      <c r="V204" s="148"/>
    </row>
    <row r="205" spans="2:22" ht="30" customHeight="1">
      <c r="B205" s="80"/>
      <c r="C205" s="90">
        <v>11.12</v>
      </c>
      <c r="D205" s="97"/>
      <c r="E205" s="97"/>
      <c r="F205" s="97"/>
      <c r="G205" s="98" t="s">
        <v>199</v>
      </c>
      <c r="H205" s="102" t="s">
        <v>29</v>
      </c>
      <c r="I205" s="87">
        <v>6</v>
      </c>
      <c r="J205" s="88">
        <v>684383</v>
      </c>
      <c r="K205" s="140">
        <f t="shared" si="97"/>
        <v>4106298</v>
      </c>
      <c r="L205" s="876"/>
      <c r="M205" s="509">
        <f t="shared" si="98"/>
        <v>0</v>
      </c>
      <c r="N205" s="311">
        <f t="shared" si="99"/>
        <v>6</v>
      </c>
      <c r="O205" s="312">
        <f t="shared" si="100"/>
        <v>0</v>
      </c>
      <c r="P205" s="312">
        <f t="shared" si="101"/>
        <v>4106298</v>
      </c>
      <c r="Q205" s="312">
        <f t="shared" si="106"/>
        <v>-4106298</v>
      </c>
      <c r="R205" s="891"/>
      <c r="S205" s="303">
        <f>+'MEMORIAS DE CANTIDADES'!L2359</f>
        <v>0</v>
      </c>
      <c r="T205" s="304">
        <f t="shared" si="103"/>
        <v>684383</v>
      </c>
      <c r="U205" s="501">
        <f t="shared" si="105"/>
        <v>0</v>
      </c>
      <c r="V205" s="148"/>
    </row>
    <row r="206" spans="2:22" ht="30" customHeight="1" thickBot="1">
      <c r="B206" s="80"/>
      <c r="C206" s="103" t="s">
        <v>8</v>
      </c>
      <c r="D206" s="592"/>
      <c r="E206" s="592"/>
      <c r="F206" s="592"/>
      <c r="G206" s="593"/>
      <c r="H206" s="592"/>
      <c r="I206" s="507"/>
      <c r="J206" s="104"/>
      <c r="K206" s="142">
        <f>SUM(K194:K205)</f>
        <v>189242509</v>
      </c>
      <c r="L206" s="876"/>
      <c r="M206" s="322"/>
      <c r="N206" s="322"/>
      <c r="O206" s="320">
        <f t="shared" ref="O206:P206" si="107">SUM(O194:O205)</f>
        <v>0</v>
      </c>
      <c r="P206" s="320">
        <f t="shared" si="107"/>
        <v>45150673</v>
      </c>
      <c r="Q206" s="320">
        <f>SUM(Q194:Q205)</f>
        <v>-45150673</v>
      </c>
      <c r="R206" s="891"/>
      <c r="S206" s="290"/>
      <c r="T206" s="289"/>
      <c r="U206" s="506">
        <f>SUM(U194:U205)</f>
        <v>144091836</v>
      </c>
      <c r="V206" s="284"/>
    </row>
    <row r="207" spans="2:22" ht="30" customHeight="1" thickBot="1">
      <c r="B207" s="80"/>
      <c r="C207" s="886" t="s">
        <v>200</v>
      </c>
      <c r="D207" s="887"/>
      <c r="E207" s="887"/>
      <c r="F207" s="887"/>
      <c r="G207" s="887"/>
      <c r="H207" s="887"/>
      <c r="I207" s="887"/>
      <c r="J207" s="887"/>
      <c r="K207" s="888"/>
      <c r="L207" s="889"/>
      <c r="M207" s="888"/>
      <c r="N207" s="887"/>
      <c r="O207" s="920"/>
      <c r="P207" s="920"/>
      <c r="Q207" s="920"/>
      <c r="R207" s="589"/>
      <c r="S207" s="589"/>
      <c r="T207" s="589"/>
      <c r="U207" s="500"/>
      <c r="V207" s="148"/>
    </row>
    <row r="208" spans="2:22" ht="30" customHeight="1">
      <c r="B208" s="80"/>
      <c r="C208" s="84">
        <v>12.1</v>
      </c>
      <c r="D208" s="251"/>
      <c r="E208" s="251"/>
      <c r="F208" s="251"/>
      <c r="G208" s="252" t="s">
        <v>201</v>
      </c>
      <c r="H208" s="251" t="s">
        <v>202</v>
      </c>
      <c r="I208" s="482">
        <v>240</v>
      </c>
      <c r="J208" s="246">
        <v>250645</v>
      </c>
      <c r="K208" s="510">
        <f t="shared" ref="K208:K270" si="108">I208*J208</f>
        <v>60154800</v>
      </c>
      <c r="L208" s="333"/>
      <c r="M208" s="508">
        <f t="shared" ref="M208:M239" si="109">+IF(I208&lt;S208,S208-I208,0)</f>
        <v>0</v>
      </c>
      <c r="N208" s="307">
        <f t="shared" ref="N208:N239" si="110">+IF(I208&gt;S208,-S208+I208,0)</f>
        <v>25</v>
      </c>
      <c r="O208" s="313">
        <f t="shared" ref="O208:O239" si="111">+M208*J208</f>
        <v>0</v>
      </c>
      <c r="P208" s="313">
        <f t="shared" ref="P208:P239" si="112">+N208*J208</f>
        <v>6266125</v>
      </c>
      <c r="Q208" s="511">
        <f>+O208-P208</f>
        <v>-6266125</v>
      </c>
      <c r="R208" s="336"/>
      <c r="S208" s="512">
        <v>215</v>
      </c>
      <c r="T208" s="304">
        <f t="shared" ref="T208:T239" si="113">+J208</f>
        <v>250645</v>
      </c>
      <c r="U208" s="501">
        <f t="shared" ref="U208" si="114">+S208*T208</f>
        <v>53888675</v>
      </c>
      <c r="V208" s="148"/>
    </row>
    <row r="209" spans="2:22" ht="30" customHeight="1">
      <c r="B209" s="80"/>
      <c r="C209" s="84">
        <v>12.2</v>
      </c>
      <c r="D209" s="99"/>
      <c r="E209" s="99"/>
      <c r="F209" s="99"/>
      <c r="G209" s="98" t="s">
        <v>203</v>
      </c>
      <c r="H209" s="97" t="s">
        <v>202</v>
      </c>
      <c r="I209" s="275">
        <v>30</v>
      </c>
      <c r="J209" s="114">
        <v>339588</v>
      </c>
      <c r="K209" s="513">
        <f t="shared" si="108"/>
        <v>10187640</v>
      </c>
      <c r="L209" s="334"/>
      <c r="M209" s="508">
        <f t="shared" si="109"/>
        <v>0</v>
      </c>
      <c r="N209" s="307">
        <f t="shared" si="110"/>
        <v>10</v>
      </c>
      <c r="O209" s="313">
        <f t="shared" si="111"/>
        <v>0</v>
      </c>
      <c r="P209" s="313">
        <f t="shared" si="112"/>
        <v>3395880</v>
      </c>
      <c r="Q209" s="511">
        <f t="shared" ref="Q209" si="115">+O209-P209</f>
        <v>-3395880</v>
      </c>
      <c r="R209" s="337"/>
      <c r="S209" s="512">
        <v>20</v>
      </c>
      <c r="T209" s="304">
        <f t="shared" si="113"/>
        <v>339588</v>
      </c>
      <c r="U209" s="501">
        <f t="shared" ref="U209:U270" si="116">+S209*T209</f>
        <v>6791760</v>
      </c>
      <c r="V209" s="148"/>
    </row>
    <row r="210" spans="2:22" ht="30" customHeight="1">
      <c r="B210" s="80"/>
      <c r="C210" s="84">
        <v>12.3</v>
      </c>
      <c r="D210" s="97"/>
      <c r="E210" s="97"/>
      <c r="F210" s="97"/>
      <c r="G210" s="98" t="s">
        <v>204</v>
      </c>
      <c r="H210" s="97" t="s">
        <v>202</v>
      </c>
      <c r="I210" s="275">
        <v>50</v>
      </c>
      <c r="J210" s="114">
        <v>289089</v>
      </c>
      <c r="K210" s="513">
        <f t="shared" si="108"/>
        <v>14454450</v>
      </c>
      <c r="L210" s="334"/>
      <c r="M210" s="508">
        <f t="shared" si="109"/>
        <v>0</v>
      </c>
      <c r="N210" s="307">
        <f t="shared" si="110"/>
        <v>10</v>
      </c>
      <c r="O210" s="313">
        <f t="shared" si="111"/>
        <v>0</v>
      </c>
      <c r="P210" s="313">
        <f t="shared" si="112"/>
        <v>2890890</v>
      </c>
      <c r="Q210" s="511">
        <f t="shared" ref="Q210:Q270" si="117">+O210-P210</f>
        <v>-2890890</v>
      </c>
      <c r="R210" s="337"/>
      <c r="S210" s="512">
        <v>40</v>
      </c>
      <c r="T210" s="304">
        <f t="shared" si="113"/>
        <v>289089</v>
      </c>
      <c r="U210" s="501">
        <f t="shared" si="116"/>
        <v>11563560</v>
      </c>
      <c r="V210" s="148"/>
    </row>
    <row r="211" spans="2:22" ht="30" customHeight="1">
      <c r="B211" s="80"/>
      <c r="C211" s="84">
        <v>12.4</v>
      </c>
      <c r="D211" s="95"/>
      <c r="E211" s="95"/>
      <c r="F211" s="95"/>
      <c r="G211" s="100" t="s">
        <v>205</v>
      </c>
      <c r="H211" s="95" t="s">
        <v>202</v>
      </c>
      <c r="I211" s="275">
        <v>5</v>
      </c>
      <c r="J211" s="114">
        <v>319359</v>
      </c>
      <c r="K211" s="513">
        <f t="shared" si="108"/>
        <v>1596795</v>
      </c>
      <c r="L211" s="334"/>
      <c r="M211" s="508">
        <f t="shared" si="109"/>
        <v>0</v>
      </c>
      <c r="N211" s="307">
        <f t="shared" si="110"/>
        <v>0</v>
      </c>
      <c r="O211" s="313">
        <f t="shared" si="111"/>
        <v>0</v>
      </c>
      <c r="P211" s="313">
        <f t="shared" si="112"/>
        <v>0</v>
      </c>
      <c r="Q211" s="511">
        <f t="shared" si="117"/>
        <v>0</v>
      </c>
      <c r="R211" s="337"/>
      <c r="S211" s="512">
        <v>5</v>
      </c>
      <c r="T211" s="304">
        <f t="shared" si="113"/>
        <v>319359</v>
      </c>
      <c r="U211" s="501">
        <f t="shared" si="116"/>
        <v>1596795</v>
      </c>
      <c r="V211" s="148"/>
    </row>
    <row r="212" spans="2:22" ht="30" customHeight="1">
      <c r="B212" s="80"/>
      <c r="C212" s="84">
        <v>12.5</v>
      </c>
      <c r="D212" s="97"/>
      <c r="E212" s="97"/>
      <c r="F212" s="97"/>
      <c r="G212" s="98" t="s">
        <v>206</v>
      </c>
      <c r="H212" s="97" t="s">
        <v>202</v>
      </c>
      <c r="I212" s="275">
        <v>6</v>
      </c>
      <c r="J212" s="248">
        <v>325854</v>
      </c>
      <c r="K212" s="513">
        <f t="shared" si="108"/>
        <v>1955124</v>
      </c>
      <c r="L212" s="334"/>
      <c r="M212" s="508">
        <f t="shared" si="109"/>
        <v>0</v>
      </c>
      <c r="N212" s="307">
        <f t="shared" si="110"/>
        <v>2</v>
      </c>
      <c r="O212" s="313">
        <f t="shared" si="111"/>
        <v>0</v>
      </c>
      <c r="P212" s="313">
        <f t="shared" si="112"/>
        <v>651708</v>
      </c>
      <c r="Q212" s="511">
        <f t="shared" si="117"/>
        <v>-651708</v>
      </c>
      <c r="R212" s="337"/>
      <c r="S212" s="512">
        <v>4</v>
      </c>
      <c r="T212" s="304">
        <f t="shared" si="113"/>
        <v>325854</v>
      </c>
      <c r="U212" s="501">
        <f t="shared" si="116"/>
        <v>1303416</v>
      </c>
      <c r="V212" s="148"/>
    </row>
    <row r="213" spans="2:22" ht="30" customHeight="1">
      <c r="B213" s="80"/>
      <c r="C213" s="84">
        <v>12.6</v>
      </c>
      <c r="D213" s="95"/>
      <c r="E213" s="95"/>
      <c r="F213" s="95"/>
      <c r="G213" s="100" t="s">
        <v>207</v>
      </c>
      <c r="H213" s="95" t="s">
        <v>202</v>
      </c>
      <c r="I213" s="275">
        <v>40</v>
      </c>
      <c r="J213" s="248">
        <v>195139</v>
      </c>
      <c r="K213" s="513">
        <f t="shared" si="108"/>
        <v>7805560</v>
      </c>
      <c r="L213" s="334"/>
      <c r="M213" s="508">
        <f t="shared" si="109"/>
        <v>0</v>
      </c>
      <c r="N213" s="307">
        <f t="shared" si="110"/>
        <v>5</v>
      </c>
      <c r="O213" s="313">
        <f t="shared" si="111"/>
        <v>0</v>
      </c>
      <c r="P213" s="313">
        <f t="shared" si="112"/>
        <v>975695</v>
      </c>
      <c r="Q213" s="511">
        <f t="shared" si="117"/>
        <v>-975695</v>
      </c>
      <c r="R213" s="337"/>
      <c r="S213" s="512">
        <v>35</v>
      </c>
      <c r="T213" s="304">
        <f t="shared" si="113"/>
        <v>195139</v>
      </c>
      <c r="U213" s="501">
        <f t="shared" si="116"/>
        <v>6829865</v>
      </c>
      <c r="V213" s="148"/>
    </row>
    <row r="214" spans="2:22" ht="30" customHeight="1">
      <c r="B214" s="80"/>
      <c r="C214" s="84">
        <v>12.7</v>
      </c>
      <c r="D214" s="97"/>
      <c r="E214" s="85"/>
      <c r="F214" s="97"/>
      <c r="G214" s="98" t="s">
        <v>208</v>
      </c>
      <c r="H214" s="97" t="s">
        <v>202</v>
      </c>
      <c r="I214" s="275">
        <v>10</v>
      </c>
      <c r="J214" s="114">
        <v>228656</v>
      </c>
      <c r="K214" s="513">
        <f t="shared" si="108"/>
        <v>2286560</v>
      </c>
      <c r="L214" s="334"/>
      <c r="M214" s="508">
        <f t="shared" si="109"/>
        <v>0</v>
      </c>
      <c r="N214" s="307">
        <f t="shared" si="110"/>
        <v>3</v>
      </c>
      <c r="O214" s="313">
        <f t="shared" si="111"/>
        <v>0</v>
      </c>
      <c r="P214" s="313">
        <f t="shared" si="112"/>
        <v>685968</v>
      </c>
      <c r="Q214" s="511">
        <f t="shared" si="117"/>
        <v>-685968</v>
      </c>
      <c r="R214" s="337"/>
      <c r="S214" s="512">
        <v>7</v>
      </c>
      <c r="T214" s="304">
        <f t="shared" si="113"/>
        <v>228656</v>
      </c>
      <c r="U214" s="501">
        <f t="shared" si="116"/>
        <v>1600592</v>
      </c>
      <c r="V214" s="148"/>
    </row>
    <row r="215" spans="2:22" ht="30" customHeight="1">
      <c r="B215" s="80"/>
      <c r="C215" s="84">
        <v>12.8</v>
      </c>
      <c r="D215" s="97"/>
      <c r="E215" s="85"/>
      <c r="F215" s="97"/>
      <c r="G215" s="98" t="s">
        <v>209</v>
      </c>
      <c r="H215" s="97" t="s">
        <v>202</v>
      </c>
      <c r="I215" s="275">
        <v>71</v>
      </c>
      <c r="J215" s="114">
        <v>358551</v>
      </c>
      <c r="K215" s="513">
        <f t="shared" si="108"/>
        <v>25457121</v>
      </c>
      <c r="L215" s="334"/>
      <c r="M215" s="508">
        <f t="shared" si="109"/>
        <v>6</v>
      </c>
      <c r="N215" s="307">
        <f t="shared" si="110"/>
        <v>0</v>
      </c>
      <c r="O215" s="313">
        <f t="shared" si="111"/>
        <v>2151306</v>
      </c>
      <c r="P215" s="313">
        <f t="shared" si="112"/>
        <v>0</v>
      </c>
      <c r="Q215" s="511">
        <f t="shared" si="117"/>
        <v>2151306</v>
      </c>
      <c r="R215" s="337"/>
      <c r="S215" s="512">
        <v>77</v>
      </c>
      <c r="T215" s="304">
        <f t="shared" si="113"/>
        <v>358551</v>
      </c>
      <c r="U215" s="501">
        <f t="shared" si="116"/>
        <v>27608427</v>
      </c>
      <c r="V215" s="148"/>
    </row>
    <row r="216" spans="2:22" ht="30" customHeight="1">
      <c r="B216" s="80"/>
      <c r="C216" s="84">
        <v>12.9</v>
      </c>
      <c r="D216" s="97"/>
      <c r="E216" s="85"/>
      <c r="F216" s="97"/>
      <c r="G216" s="98" t="s">
        <v>210</v>
      </c>
      <c r="H216" s="97" t="s">
        <v>202</v>
      </c>
      <c r="I216" s="275">
        <v>106</v>
      </c>
      <c r="J216" s="114">
        <v>398073</v>
      </c>
      <c r="K216" s="513">
        <f t="shared" si="108"/>
        <v>42195738</v>
      </c>
      <c r="L216" s="334"/>
      <c r="M216" s="508">
        <f t="shared" si="109"/>
        <v>0</v>
      </c>
      <c r="N216" s="307">
        <f t="shared" si="110"/>
        <v>3</v>
      </c>
      <c r="O216" s="313">
        <f t="shared" si="111"/>
        <v>0</v>
      </c>
      <c r="P216" s="313">
        <f t="shared" si="112"/>
        <v>1194219</v>
      </c>
      <c r="Q216" s="511">
        <f t="shared" si="117"/>
        <v>-1194219</v>
      </c>
      <c r="R216" s="337"/>
      <c r="S216" s="512">
        <v>103</v>
      </c>
      <c r="T216" s="304">
        <f t="shared" si="113"/>
        <v>398073</v>
      </c>
      <c r="U216" s="501">
        <f t="shared" si="116"/>
        <v>41001519</v>
      </c>
      <c r="V216" s="148"/>
    </row>
    <row r="217" spans="2:22" ht="30" customHeight="1">
      <c r="B217" s="80"/>
      <c r="C217" s="90">
        <v>12.1</v>
      </c>
      <c r="D217" s="97"/>
      <c r="E217" s="85"/>
      <c r="F217" s="97"/>
      <c r="G217" s="98" t="s">
        <v>211</v>
      </c>
      <c r="H217" s="97" t="s">
        <v>202</v>
      </c>
      <c r="I217" s="275">
        <v>14</v>
      </c>
      <c r="J217" s="114">
        <v>926603</v>
      </c>
      <c r="K217" s="513">
        <f t="shared" si="108"/>
        <v>12972442</v>
      </c>
      <c r="L217" s="334"/>
      <c r="M217" s="508">
        <f t="shared" si="109"/>
        <v>0</v>
      </c>
      <c r="N217" s="307">
        <f t="shared" si="110"/>
        <v>14</v>
      </c>
      <c r="O217" s="313">
        <f t="shared" si="111"/>
        <v>0</v>
      </c>
      <c r="P217" s="313">
        <f t="shared" si="112"/>
        <v>12972442</v>
      </c>
      <c r="Q217" s="511">
        <f t="shared" si="117"/>
        <v>-12972442</v>
      </c>
      <c r="R217" s="337"/>
      <c r="S217" s="512">
        <v>0</v>
      </c>
      <c r="T217" s="304">
        <f t="shared" si="113"/>
        <v>926603</v>
      </c>
      <c r="U217" s="501">
        <f t="shared" si="116"/>
        <v>0</v>
      </c>
      <c r="V217" s="148"/>
    </row>
    <row r="218" spans="2:22" ht="30">
      <c r="B218" s="80"/>
      <c r="C218" s="90">
        <v>12.11</v>
      </c>
      <c r="D218" s="97"/>
      <c r="E218" s="97"/>
      <c r="F218" s="97"/>
      <c r="G218" s="98" t="s">
        <v>212</v>
      </c>
      <c r="H218" s="102" t="s">
        <v>202</v>
      </c>
      <c r="I218" s="275">
        <v>240</v>
      </c>
      <c r="J218" s="114">
        <v>231540</v>
      </c>
      <c r="K218" s="513">
        <f t="shared" si="108"/>
        <v>55569600</v>
      </c>
      <c r="L218" s="334"/>
      <c r="M218" s="508">
        <f t="shared" si="109"/>
        <v>0</v>
      </c>
      <c r="N218" s="307">
        <f t="shared" si="110"/>
        <v>90</v>
      </c>
      <c r="O218" s="313">
        <f t="shared" si="111"/>
        <v>0</v>
      </c>
      <c r="P218" s="313">
        <f t="shared" si="112"/>
        <v>20838600</v>
      </c>
      <c r="Q218" s="511">
        <f t="shared" si="117"/>
        <v>-20838600</v>
      </c>
      <c r="R218" s="337"/>
      <c r="S218" s="512">
        <v>150</v>
      </c>
      <c r="T218" s="304">
        <f t="shared" si="113"/>
        <v>231540</v>
      </c>
      <c r="U218" s="501">
        <f t="shared" si="116"/>
        <v>34731000</v>
      </c>
      <c r="V218" s="148"/>
    </row>
    <row r="219" spans="2:22" ht="60">
      <c r="B219" s="80"/>
      <c r="C219" s="90">
        <v>12.12</v>
      </c>
      <c r="D219" s="97"/>
      <c r="E219" s="97"/>
      <c r="F219" s="97"/>
      <c r="G219" s="98" t="s">
        <v>213</v>
      </c>
      <c r="H219" s="102" t="s">
        <v>202</v>
      </c>
      <c r="I219" s="275">
        <v>50</v>
      </c>
      <c r="J219" s="114">
        <v>5174043</v>
      </c>
      <c r="K219" s="513">
        <f t="shared" si="108"/>
        <v>258702150</v>
      </c>
      <c r="L219" s="334"/>
      <c r="M219" s="508">
        <f t="shared" si="109"/>
        <v>0</v>
      </c>
      <c r="N219" s="307">
        <f t="shared" si="110"/>
        <v>38</v>
      </c>
      <c r="O219" s="313">
        <f t="shared" si="111"/>
        <v>0</v>
      </c>
      <c r="P219" s="313">
        <f t="shared" si="112"/>
        <v>196613634</v>
      </c>
      <c r="Q219" s="511">
        <f t="shared" si="117"/>
        <v>-196613634</v>
      </c>
      <c r="R219" s="337"/>
      <c r="S219" s="512">
        <v>12</v>
      </c>
      <c r="T219" s="304">
        <f t="shared" si="113"/>
        <v>5174043</v>
      </c>
      <c r="U219" s="501">
        <f t="shared" si="116"/>
        <v>62088516</v>
      </c>
    </row>
    <row r="220" spans="2:22" ht="60">
      <c r="B220" s="80"/>
      <c r="C220" s="90">
        <v>12.13</v>
      </c>
      <c r="D220" s="97"/>
      <c r="E220" s="97"/>
      <c r="F220" s="97"/>
      <c r="G220" s="98" t="s">
        <v>214</v>
      </c>
      <c r="H220" s="102" t="s">
        <v>202</v>
      </c>
      <c r="I220" s="275">
        <v>21</v>
      </c>
      <c r="J220" s="114">
        <v>3522069</v>
      </c>
      <c r="K220" s="513">
        <f t="shared" si="108"/>
        <v>73963449</v>
      </c>
      <c r="L220" s="334"/>
      <c r="M220" s="508">
        <f t="shared" si="109"/>
        <v>0</v>
      </c>
      <c r="N220" s="307">
        <f t="shared" si="110"/>
        <v>17</v>
      </c>
      <c r="O220" s="313">
        <f t="shared" si="111"/>
        <v>0</v>
      </c>
      <c r="P220" s="313">
        <f t="shared" si="112"/>
        <v>59875173</v>
      </c>
      <c r="Q220" s="511">
        <f t="shared" si="117"/>
        <v>-59875173</v>
      </c>
      <c r="R220" s="337"/>
      <c r="S220" s="512">
        <v>4</v>
      </c>
      <c r="T220" s="304">
        <f t="shared" si="113"/>
        <v>3522069</v>
      </c>
      <c r="U220" s="501">
        <f t="shared" si="116"/>
        <v>14088276</v>
      </c>
    </row>
    <row r="221" spans="2:22" ht="30">
      <c r="B221" s="80"/>
      <c r="C221" s="90">
        <v>12.14</v>
      </c>
      <c r="D221" s="97"/>
      <c r="E221" s="97"/>
      <c r="F221" s="97"/>
      <c r="G221" s="98" t="s">
        <v>215</v>
      </c>
      <c r="H221" s="102" t="s">
        <v>202</v>
      </c>
      <c r="I221" s="275">
        <v>30</v>
      </c>
      <c r="J221" s="114">
        <v>1214431</v>
      </c>
      <c r="K221" s="513">
        <f t="shared" si="108"/>
        <v>36432930</v>
      </c>
      <c r="L221" s="334"/>
      <c r="M221" s="508">
        <f t="shared" si="109"/>
        <v>0</v>
      </c>
      <c r="N221" s="307">
        <f t="shared" si="110"/>
        <v>25</v>
      </c>
      <c r="O221" s="313">
        <f t="shared" si="111"/>
        <v>0</v>
      </c>
      <c r="P221" s="313">
        <f t="shared" si="112"/>
        <v>30360775</v>
      </c>
      <c r="Q221" s="511">
        <f t="shared" si="117"/>
        <v>-30360775</v>
      </c>
      <c r="R221" s="337"/>
      <c r="S221" s="512">
        <v>5</v>
      </c>
      <c r="T221" s="304">
        <f t="shared" si="113"/>
        <v>1214431</v>
      </c>
      <c r="U221" s="501">
        <f t="shared" si="116"/>
        <v>6072155</v>
      </c>
    </row>
    <row r="222" spans="2:22">
      <c r="B222" s="80"/>
      <c r="C222" s="90">
        <v>12.15</v>
      </c>
      <c r="D222" s="97"/>
      <c r="E222" s="97"/>
      <c r="F222" s="97"/>
      <c r="G222" s="98" t="s">
        <v>216</v>
      </c>
      <c r="H222" s="102" t="s">
        <v>202</v>
      </c>
      <c r="I222" s="275">
        <v>65</v>
      </c>
      <c r="J222" s="114">
        <v>820511</v>
      </c>
      <c r="K222" s="513">
        <f t="shared" si="108"/>
        <v>53333215</v>
      </c>
      <c r="L222" s="334"/>
      <c r="M222" s="508">
        <f t="shared" si="109"/>
        <v>0</v>
      </c>
      <c r="N222" s="307">
        <f t="shared" si="110"/>
        <v>0</v>
      </c>
      <c r="O222" s="313">
        <f t="shared" si="111"/>
        <v>0</v>
      </c>
      <c r="P222" s="313">
        <f t="shared" si="112"/>
        <v>0</v>
      </c>
      <c r="Q222" s="511">
        <f t="shared" si="117"/>
        <v>0</v>
      </c>
      <c r="R222" s="337"/>
      <c r="S222" s="512">
        <v>65</v>
      </c>
      <c r="T222" s="304">
        <f t="shared" si="113"/>
        <v>820511</v>
      </c>
      <c r="U222" s="501">
        <f t="shared" si="116"/>
        <v>53333215</v>
      </c>
    </row>
    <row r="223" spans="2:22" ht="30">
      <c r="B223" s="80"/>
      <c r="C223" s="90">
        <v>12.16</v>
      </c>
      <c r="D223" s="97"/>
      <c r="E223" s="97"/>
      <c r="F223" s="97"/>
      <c r="G223" s="98" t="s">
        <v>217</v>
      </c>
      <c r="H223" s="102" t="s">
        <v>202</v>
      </c>
      <c r="I223" s="275">
        <v>45</v>
      </c>
      <c r="J223" s="114">
        <v>3469306</v>
      </c>
      <c r="K223" s="513">
        <f t="shared" si="108"/>
        <v>156118770</v>
      </c>
      <c r="L223" s="334"/>
      <c r="M223" s="508">
        <f t="shared" si="109"/>
        <v>32</v>
      </c>
      <c r="N223" s="307">
        <f t="shared" si="110"/>
        <v>0</v>
      </c>
      <c r="O223" s="313">
        <f t="shared" si="111"/>
        <v>111017792</v>
      </c>
      <c r="P223" s="313">
        <f t="shared" si="112"/>
        <v>0</v>
      </c>
      <c r="Q223" s="511">
        <f t="shared" si="117"/>
        <v>111017792</v>
      </c>
      <c r="R223" s="337"/>
      <c r="S223" s="512">
        <v>77</v>
      </c>
      <c r="T223" s="304">
        <f t="shared" si="113"/>
        <v>3469306</v>
      </c>
      <c r="U223" s="501">
        <f t="shared" si="116"/>
        <v>267136562</v>
      </c>
      <c r="V223" s="148"/>
    </row>
    <row r="224" spans="2:22" ht="30">
      <c r="B224" s="80"/>
      <c r="C224" s="90">
        <v>12.17</v>
      </c>
      <c r="D224" s="97"/>
      <c r="E224" s="97"/>
      <c r="F224" s="97"/>
      <c r="G224" s="98" t="s">
        <v>218</v>
      </c>
      <c r="H224" s="102" t="s">
        <v>65</v>
      </c>
      <c r="I224" s="275">
        <v>1690</v>
      </c>
      <c r="J224" s="114">
        <v>356932</v>
      </c>
      <c r="K224" s="513">
        <f t="shared" si="108"/>
        <v>603215080</v>
      </c>
      <c r="L224" s="334"/>
      <c r="M224" s="508">
        <f t="shared" si="109"/>
        <v>100</v>
      </c>
      <c r="N224" s="307">
        <f t="shared" si="110"/>
        <v>0</v>
      </c>
      <c r="O224" s="313">
        <f t="shared" si="111"/>
        <v>35693200</v>
      </c>
      <c r="P224" s="313">
        <f t="shared" si="112"/>
        <v>0</v>
      </c>
      <c r="Q224" s="511">
        <f t="shared" si="117"/>
        <v>35693200</v>
      </c>
      <c r="R224" s="337"/>
      <c r="S224" s="512">
        <v>1790</v>
      </c>
      <c r="T224" s="304">
        <f t="shared" si="113"/>
        <v>356932</v>
      </c>
      <c r="U224" s="501">
        <f t="shared" si="116"/>
        <v>638908280</v>
      </c>
    </row>
    <row r="225" spans="2:21" ht="45">
      <c r="B225" s="80"/>
      <c r="C225" s="90">
        <v>12.18</v>
      </c>
      <c r="D225" s="97"/>
      <c r="E225" s="97"/>
      <c r="F225" s="97"/>
      <c r="G225" s="98" t="s">
        <v>219</v>
      </c>
      <c r="H225" s="102" t="s">
        <v>65</v>
      </c>
      <c r="I225" s="275">
        <v>660</v>
      </c>
      <c r="J225" s="114">
        <v>293697</v>
      </c>
      <c r="K225" s="513">
        <f t="shared" si="108"/>
        <v>193840020</v>
      </c>
      <c r="L225" s="334"/>
      <c r="M225" s="508">
        <f t="shared" si="109"/>
        <v>400</v>
      </c>
      <c r="N225" s="307">
        <f t="shared" si="110"/>
        <v>0</v>
      </c>
      <c r="O225" s="313">
        <f t="shared" si="111"/>
        <v>117478800</v>
      </c>
      <c r="P225" s="313">
        <f t="shared" si="112"/>
        <v>0</v>
      </c>
      <c r="Q225" s="511">
        <f t="shared" si="117"/>
        <v>117478800</v>
      </c>
      <c r="R225" s="337"/>
      <c r="S225" s="512">
        <f>660+400</f>
        <v>1060</v>
      </c>
      <c r="T225" s="304">
        <f t="shared" si="113"/>
        <v>293697</v>
      </c>
      <c r="U225" s="501">
        <f t="shared" si="116"/>
        <v>311318820</v>
      </c>
    </row>
    <row r="226" spans="2:21" ht="30">
      <c r="B226" s="80"/>
      <c r="C226" s="90">
        <v>12.19</v>
      </c>
      <c r="D226" s="97"/>
      <c r="E226" s="97"/>
      <c r="F226" s="97"/>
      <c r="G226" s="98" t="s">
        <v>220</v>
      </c>
      <c r="H226" s="102" t="s">
        <v>65</v>
      </c>
      <c r="I226" s="275">
        <v>1370</v>
      </c>
      <c r="J226" s="114">
        <v>193696</v>
      </c>
      <c r="K226" s="513">
        <f t="shared" si="108"/>
        <v>265363520</v>
      </c>
      <c r="L226" s="334"/>
      <c r="M226" s="508">
        <f t="shared" si="109"/>
        <v>500</v>
      </c>
      <c r="N226" s="307">
        <f t="shared" si="110"/>
        <v>0</v>
      </c>
      <c r="O226" s="313">
        <f t="shared" si="111"/>
        <v>96848000</v>
      </c>
      <c r="P226" s="313">
        <f t="shared" si="112"/>
        <v>0</v>
      </c>
      <c r="Q226" s="511">
        <f t="shared" si="117"/>
        <v>96848000</v>
      </c>
      <c r="R226" s="337"/>
      <c r="S226" s="512">
        <v>1870</v>
      </c>
      <c r="T226" s="304">
        <f t="shared" si="113"/>
        <v>193696</v>
      </c>
      <c r="U226" s="501">
        <f t="shared" si="116"/>
        <v>362211520</v>
      </c>
    </row>
    <row r="227" spans="2:21">
      <c r="B227" s="80"/>
      <c r="C227" s="90">
        <v>12.2</v>
      </c>
      <c r="D227" s="97"/>
      <c r="E227" s="97"/>
      <c r="F227" s="97"/>
      <c r="G227" s="98" t="s">
        <v>221</v>
      </c>
      <c r="H227" s="102" t="s">
        <v>202</v>
      </c>
      <c r="I227" s="275">
        <v>20</v>
      </c>
      <c r="J227" s="114">
        <v>80379</v>
      </c>
      <c r="K227" s="513">
        <f t="shared" si="108"/>
        <v>1607580</v>
      </c>
      <c r="L227" s="334"/>
      <c r="M227" s="508">
        <f t="shared" si="109"/>
        <v>0</v>
      </c>
      <c r="N227" s="307">
        <f t="shared" si="110"/>
        <v>0</v>
      </c>
      <c r="O227" s="313">
        <f t="shared" si="111"/>
        <v>0</v>
      </c>
      <c r="P227" s="313">
        <f t="shared" si="112"/>
        <v>0</v>
      </c>
      <c r="Q227" s="511">
        <f t="shared" si="117"/>
        <v>0</v>
      </c>
      <c r="R227" s="337"/>
      <c r="S227" s="512">
        <v>20</v>
      </c>
      <c r="T227" s="304">
        <f t="shared" si="113"/>
        <v>80379</v>
      </c>
      <c r="U227" s="501">
        <f t="shared" si="116"/>
        <v>1607580</v>
      </c>
    </row>
    <row r="228" spans="2:21">
      <c r="B228" s="80"/>
      <c r="C228" s="90">
        <v>12.21</v>
      </c>
      <c r="D228" s="97"/>
      <c r="E228" s="97"/>
      <c r="F228" s="97"/>
      <c r="G228" s="98" t="s">
        <v>222</v>
      </c>
      <c r="H228" s="102" t="s">
        <v>202</v>
      </c>
      <c r="I228" s="275">
        <v>49</v>
      </c>
      <c r="J228" s="114">
        <v>2142888</v>
      </c>
      <c r="K228" s="513">
        <f t="shared" si="108"/>
        <v>105001512</v>
      </c>
      <c r="L228" s="334"/>
      <c r="M228" s="508">
        <f t="shared" si="109"/>
        <v>17</v>
      </c>
      <c r="N228" s="307">
        <f t="shared" si="110"/>
        <v>0</v>
      </c>
      <c r="O228" s="313">
        <f t="shared" si="111"/>
        <v>36429096</v>
      </c>
      <c r="P228" s="313">
        <f t="shared" si="112"/>
        <v>0</v>
      </c>
      <c r="Q228" s="511">
        <f t="shared" si="117"/>
        <v>36429096</v>
      </c>
      <c r="R228" s="337"/>
      <c r="S228" s="512">
        <f>49+17</f>
        <v>66</v>
      </c>
      <c r="T228" s="304">
        <f t="shared" si="113"/>
        <v>2142888</v>
      </c>
      <c r="U228" s="501">
        <f t="shared" si="116"/>
        <v>141430608</v>
      </c>
    </row>
    <row r="229" spans="2:21" ht="37.15" customHeight="1">
      <c r="B229" s="80"/>
      <c r="C229" s="90">
        <v>12.22</v>
      </c>
      <c r="D229" s="97"/>
      <c r="E229" s="97"/>
      <c r="F229" s="97"/>
      <c r="G229" s="98" t="s">
        <v>223</v>
      </c>
      <c r="H229" s="102" t="s">
        <v>65</v>
      </c>
      <c r="I229" s="275">
        <v>45</v>
      </c>
      <c r="J229" s="114">
        <v>248666</v>
      </c>
      <c r="K229" s="513">
        <f t="shared" si="108"/>
        <v>11189970</v>
      </c>
      <c r="L229" s="334"/>
      <c r="M229" s="508">
        <f t="shared" si="109"/>
        <v>0</v>
      </c>
      <c r="N229" s="307">
        <f t="shared" si="110"/>
        <v>15</v>
      </c>
      <c r="O229" s="313">
        <f t="shared" si="111"/>
        <v>0</v>
      </c>
      <c r="P229" s="313">
        <f t="shared" si="112"/>
        <v>3729990</v>
      </c>
      <c r="Q229" s="511">
        <f t="shared" si="117"/>
        <v>-3729990</v>
      </c>
      <c r="R229" s="337"/>
      <c r="S229" s="512">
        <v>30</v>
      </c>
      <c r="T229" s="304">
        <f t="shared" si="113"/>
        <v>248666</v>
      </c>
      <c r="U229" s="501">
        <f t="shared" si="116"/>
        <v>7459980</v>
      </c>
    </row>
    <row r="230" spans="2:21" ht="72" customHeight="1">
      <c r="B230" s="80"/>
      <c r="C230" s="90">
        <v>12.23</v>
      </c>
      <c r="D230" s="97"/>
      <c r="E230" s="97"/>
      <c r="F230" s="97"/>
      <c r="G230" s="98" t="s">
        <v>224</v>
      </c>
      <c r="H230" s="102" t="s">
        <v>65</v>
      </c>
      <c r="I230" s="275">
        <v>1835</v>
      </c>
      <c r="J230" s="114">
        <v>67319</v>
      </c>
      <c r="K230" s="513">
        <f t="shared" si="108"/>
        <v>123530365</v>
      </c>
      <c r="L230" s="334"/>
      <c r="M230" s="508">
        <f t="shared" si="109"/>
        <v>0</v>
      </c>
      <c r="N230" s="307">
        <f t="shared" si="110"/>
        <v>1000</v>
      </c>
      <c r="O230" s="313">
        <f t="shared" si="111"/>
        <v>0</v>
      </c>
      <c r="P230" s="313">
        <f t="shared" si="112"/>
        <v>67319000</v>
      </c>
      <c r="Q230" s="511">
        <f t="shared" si="117"/>
        <v>-67319000</v>
      </c>
      <c r="R230" s="337"/>
      <c r="S230" s="512">
        <v>835</v>
      </c>
      <c r="T230" s="304">
        <f t="shared" si="113"/>
        <v>67319</v>
      </c>
      <c r="U230" s="501">
        <f t="shared" si="116"/>
        <v>56211365</v>
      </c>
    </row>
    <row r="231" spans="2:21" ht="30" customHeight="1">
      <c r="B231" s="80"/>
      <c r="C231" s="90">
        <v>12.24</v>
      </c>
      <c r="D231" s="97"/>
      <c r="E231" s="97"/>
      <c r="F231" s="97"/>
      <c r="G231" s="98" t="s">
        <v>225</v>
      </c>
      <c r="H231" s="102" t="s">
        <v>65</v>
      </c>
      <c r="I231" s="275">
        <v>755</v>
      </c>
      <c r="J231" s="114">
        <v>77258</v>
      </c>
      <c r="K231" s="513">
        <f t="shared" si="108"/>
        <v>58329790</v>
      </c>
      <c r="L231" s="334"/>
      <c r="M231" s="508">
        <f t="shared" si="109"/>
        <v>225</v>
      </c>
      <c r="N231" s="307">
        <f t="shared" si="110"/>
        <v>0</v>
      </c>
      <c r="O231" s="313">
        <f t="shared" si="111"/>
        <v>17383050</v>
      </c>
      <c r="P231" s="313">
        <f t="shared" si="112"/>
        <v>0</v>
      </c>
      <c r="Q231" s="511">
        <f t="shared" si="117"/>
        <v>17383050</v>
      </c>
      <c r="R231" s="337"/>
      <c r="S231" s="512">
        <v>980</v>
      </c>
      <c r="T231" s="304">
        <f t="shared" si="113"/>
        <v>77258</v>
      </c>
      <c r="U231" s="501">
        <f t="shared" si="116"/>
        <v>75712840</v>
      </c>
    </row>
    <row r="232" spans="2:21" ht="72" customHeight="1">
      <c r="B232" s="80"/>
      <c r="C232" s="90">
        <v>12.25</v>
      </c>
      <c r="D232" s="97"/>
      <c r="E232" s="97"/>
      <c r="F232" s="97"/>
      <c r="G232" s="98" t="s">
        <v>226</v>
      </c>
      <c r="H232" s="102" t="s">
        <v>65</v>
      </c>
      <c r="I232" s="275">
        <v>410</v>
      </c>
      <c r="J232" s="114">
        <v>358912</v>
      </c>
      <c r="K232" s="513">
        <f t="shared" si="108"/>
        <v>147153920</v>
      </c>
      <c r="L232" s="334"/>
      <c r="M232" s="508">
        <f t="shared" si="109"/>
        <v>0</v>
      </c>
      <c r="N232" s="307">
        <f t="shared" si="110"/>
        <v>410</v>
      </c>
      <c r="O232" s="313">
        <f t="shared" si="111"/>
        <v>0</v>
      </c>
      <c r="P232" s="313">
        <f t="shared" si="112"/>
        <v>147153920</v>
      </c>
      <c r="Q232" s="511">
        <f t="shared" si="117"/>
        <v>-147153920</v>
      </c>
      <c r="R232" s="337"/>
      <c r="S232" s="512">
        <v>0</v>
      </c>
      <c r="T232" s="304">
        <f t="shared" si="113"/>
        <v>358912</v>
      </c>
      <c r="U232" s="501">
        <f t="shared" si="116"/>
        <v>0</v>
      </c>
    </row>
    <row r="233" spans="2:21" ht="67.150000000000006" customHeight="1">
      <c r="B233" s="80"/>
      <c r="C233" s="90">
        <v>12.26</v>
      </c>
      <c r="D233" s="97"/>
      <c r="E233" s="97"/>
      <c r="F233" s="97"/>
      <c r="G233" s="98" t="s">
        <v>227</v>
      </c>
      <c r="H233" s="102" t="s">
        <v>65</v>
      </c>
      <c r="I233" s="275">
        <v>270</v>
      </c>
      <c r="J233" s="114">
        <v>217980</v>
      </c>
      <c r="K233" s="513">
        <f t="shared" si="108"/>
        <v>58854600</v>
      </c>
      <c r="L233" s="334"/>
      <c r="M233" s="508">
        <f t="shared" si="109"/>
        <v>0</v>
      </c>
      <c r="N233" s="307">
        <f t="shared" si="110"/>
        <v>270</v>
      </c>
      <c r="O233" s="313">
        <f t="shared" si="111"/>
        <v>0</v>
      </c>
      <c r="P233" s="313">
        <f t="shared" si="112"/>
        <v>58854600</v>
      </c>
      <c r="Q233" s="511">
        <f t="shared" si="117"/>
        <v>-58854600</v>
      </c>
      <c r="R233" s="337"/>
      <c r="S233" s="512">
        <v>0</v>
      </c>
      <c r="T233" s="304">
        <f t="shared" si="113"/>
        <v>217980</v>
      </c>
      <c r="U233" s="501">
        <f t="shared" si="116"/>
        <v>0</v>
      </c>
    </row>
    <row r="234" spans="2:21" ht="90">
      <c r="B234" s="80"/>
      <c r="C234" s="90">
        <v>12.27</v>
      </c>
      <c r="D234" s="97"/>
      <c r="E234" s="97"/>
      <c r="F234" s="97"/>
      <c r="G234" s="98" t="s">
        <v>228</v>
      </c>
      <c r="H234" s="102" t="s">
        <v>202</v>
      </c>
      <c r="I234" s="275">
        <v>12</v>
      </c>
      <c r="J234" s="114">
        <v>52682063</v>
      </c>
      <c r="K234" s="513">
        <f t="shared" si="108"/>
        <v>632184756</v>
      </c>
      <c r="L234" s="334"/>
      <c r="M234" s="508">
        <f t="shared" si="109"/>
        <v>0</v>
      </c>
      <c r="N234" s="307">
        <f t="shared" si="110"/>
        <v>0</v>
      </c>
      <c r="O234" s="313">
        <f t="shared" si="111"/>
        <v>0</v>
      </c>
      <c r="P234" s="313">
        <f t="shared" si="112"/>
        <v>0</v>
      </c>
      <c r="Q234" s="511">
        <f t="shared" si="117"/>
        <v>0</v>
      </c>
      <c r="R234" s="337"/>
      <c r="S234" s="512">
        <v>12</v>
      </c>
      <c r="T234" s="304">
        <f t="shared" si="113"/>
        <v>52682063</v>
      </c>
      <c r="U234" s="501">
        <f t="shared" si="116"/>
        <v>632184756</v>
      </c>
    </row>
    <row r="235" spans="2:21" ht="90">
      <c r="B235" s="80"/>
      <c r="C235" s="90">
        <v>12.28</v>
      </c>
      <c r="D235" s="97"/>
      <c r="E235" s="97"/>
      <c r="F235" s="97"/>
      <c r="G235" s="98" t="s">
        <v>229</v>
      </c>
      <c r="H235" s="102" t="s">
        <v>202</v>
      </c>
      <c r="I235" s="275">
        <v>2</v>
      </c>
      <c r="J235" s="114">
        <v>60035063</v>
      </c>
      <c r="K235" s="513">
        <f t="shared" si="108"/>
        <v>120070126</v>
      </c>
      <c r="L235" s="334"/>
      <c r="M235" s="508">
        <f t="shared" si="109"/>
        <v>0</v>
      </c>
      <c r="N235" s="307">
        <f t="shared" si="110"/>
        <v>0</v>
      </c>
      <c r="O235" s="313">
        <f t="shared" si="111"/>
        <v>0</v>
      </c>
      <c r="P235" s="313">
        <f t="shared" si="112"/>
        <v>0</v>
      </c>
      <c r="Q235" s="511">
        <f t="shared" si="117"/>
        <v>0</v>
      </c>
      <c r="R235" s="337"/>
      <c r="S235" s="512">
        <v>2</v>
      </c>
      <c r="T235" s="304">
        <f t="shared" si="113"/>
        <v>60035063</v>
      </c>
      <c r="U235" s="501">
        <f t="shared" si="116"/>
        <v>120070126</v>
      </c>
    </row>
    <row r="236" spans="2:21" ht="30">
      <c r="B236" s="80"/>
      <c r="C236" s="90">
        <v>12.29</v>
      </c>
      <c r="D236" s="97"/>
      <c r="E236" s="97"/>
      <c r="F236" s="97"/>
      <c r="G236" s="98" t="s">
        <v>230</v>
      </c>
      <c r="H236" s="102" t="s">
        <v>202</v>
      </c>
      <c r="I236" s="275">
        <v>14</v>
      </c>
      <c r="J236" s="114">
        <v>15495679</v>
      </c>
      <c r="K236" s="513">
        <f t="shared" si="108"/>
        <v>216939506</v>
      </c>
      <c r="L236" s="334"/>
      <c r="M236" s="508">
        <f t="shared" si="109"/>
        <v>4</v>
      </c>
      <c r="N236" s="307">
        <f t="shared" si="110"/>
        <v>0</v>
      </c>
      <c r="O236" s="313">
        <f t="shared" si="111"/>
        <v>61982716</v>
      </c>
      <c r="P236" s="313">
        <f t="shared" si="112"/>
        <v>0</v>
      </c>
      <c r="Q236" s="511">
        <f t="shared" si="117"/>
        <v>61982716</v>
      </c>
      <c r="R236" s="337"/>
      <c r="S236" s="512">
        <v>18</v>
      </c>
      <c r="T236" s="304">
        <f t="shared" si="113"/>
        <v>15495679</v>
      </c>
      <c r="U236" s="501">
        <f t="shared" si="116"/>
        <v>278922222</v>
      </c>
    </row>
    <row r="237" spans="2:21" ht="44.45" customHeight="1">
      <c r="B237" s="80"/>
      <c r="C237" s="90">
        <v>12.3</v>
      </c>
      <c r="D237" s="97"/>
      <c r="E237" s="97"/>
      <c r="F237" s="97"/>
      <c r="G237" s="98" t="s">
        <v>231</v>
      </c>
      <c r="H237" s="102" t="s">
        <v>202</v>
      </c>
      <c r="I237" s="275">
        <v>42</v>
      </c>
      <c r="J237" s="114">
        <v>2108439</v>
      </c>
      <c r="K237" s="513">
        <f t="shared" si="108"/>
        <v>88554438</v>
      </c>
      <c r="L237" s="334"/>
      <c r="M237" s="508">
        <f t="shared" si="109"/>
        <v>0</v>
      </c>
      <c r="N237" s="307">
        <f t="shared" si="110"/>
        <v>0</v>
      </c>
      <c r="O237" s="313">
        <f t="shared" si="111"/>
        <v>0</v>
      </c>
      <c r="P237" s="313">
        <f t="shared" si="112"/>
        <v>0</v>
      </c>
      <c r="Q237" s="511">
        <f t="shared" si="117"/>
        <v>0</v>
      </c>
      <c r="R237" s="337"/>
      <c r="S237" s="512">
        <v>42</v>
      </c>
      <c r="T237" s="304">
        <f t="shared" si="113"/>
        <v>2108439</v>
      </c>
      <c r="U237" s="501">
        <f t="shared" si="116"/>
        <v>88554438</v>
      </c>
    </row>
    <row r="238" spans="2:21" ht="30" customHeight="1">
      <c r="B238" s="80"/>
      <c r="C238" s="90">
        <v>12.31</v>
      </c>
      <c r="D238" s="97"/>
      <c r="E238" s="97"/>
      <c r="F238" s="97"/>
      <c r="G238" s="98" t="s">
        <v>232</v>
      </c>
      <c r="H238" s="102" t="s">
        <v>65</v>
      </c>
      <c r="I238" s="275">
        <v>450</v>
      </c>
      <c r="J238" s="114">
        <v>123785</v>
      </c>
      <c r="K238" s="513">
        <f t="shared" si="108"/>
        <v>55703250</v>
      </c>
      <c r="L238" s="334"/>
      <c r="M238" s="508">
        <f t="shared" si="109"/>
        <v>285</v>
      </c>
      <c r="N238" s="307">
        <f t="shared" si="110"/>
        <v>0</v>
      </c>
      <c r="O238" s="313">
        <f t="shared" si="111"/>
        <v>35278725</v>
      </c>
      <c r="P238" s="313">
        <f t="shared" si="112"/>
        <v>0</v>
      </c>
      <c r="Q238" s="511">
        <f t="shared" si="117"/>
        <v>35278725</v>
      </c>
      <c r="R238" s="337"/>
      <c r="S238" s="512">
        <f>535+200</f>
        <v>735</v>
      </c>
      <c r="T238" s="304">
        <f t="shared" si="113"/>
        <v>123785</v>
      </c>
      <c r="U238" s="501">
        <f t="shared" si="116"/>
        <v>90981975</v>
      </c>
    </row>
    <row r="239" spans="2:21" ht="29.45" customHeight="1">
      <c r="B239" s="80"/>
      <c r="C239" s="90">
        <v>12.32</v>
      </c>
      <c r="D239" s="97"/>
      <c r="E239" s="97"/>
      <c r="F239" s="97"/>
      <c r="G239" s="98" t="s">
        <v>233</v>
      </c>
      <c r="H239" s="102" t="s">
        <v>65</v>
      </c>
      <c r="I239" s="275">
        <v>972</v>
      </c>
      <c r="J239" s="114">
        <v>87464</v>
      </c>
      <c r="K239" s="513">
        <f t="shared" si="108"/>
        <v>85015008</v>
      </c>
      <c r="L239" s="334"/>
      <c r="M239" s="508">
        <f t="shared" si="109"/>
        <v>323</v>
      </c>
      <c r="N239" s="307">
        <f t="shared" si="110"/>
        <v>0</v>
      </c>
      <c r="O239" s="313">
        <f t="shared" si="111"/>
        <v>28250872</v>
      </c>
      <c r="P239" s="313">
        <f t="shared" si="112"/>
        <v>0</v>
      </c>
      <c r="Q239" s="511">
        <f t="shared" si="117"/>
        <v>28250872</v>
      </c>
      <c r="R239" s="337"/>
      <c r="S239" s="512">
        <f>1095+200</f>
        <v>1295</v>
      </c>
      <c r="T239" s="304">
        <f t="shared" si="113"/>
        <v>87464</v>
      </c>
      <c r="U239" s="501">
        <f t="shared" si="116"/>
        <v>113265880</v>
      </c>
    </row>
    <row r="240" spans="2:21" ht="30" customHeight="1">
      <c r="B240" s="80"/>
      <c r="C240" s="90">
        <v>12.33</v>
      </c>
      <c r="D240" s="97"/>
      <c r="E240" s="97"/>
      <c r="F240" s="97"/>
      <c r="G240" s="98" t="s">
        <v>234</v>
      </c>
      <c r="H240" s="102" t="s">
        <v>202</v>
      </c>
      <c r="I240" s="275">
        <v>14</v>
      </c>
      <c r="J240" s="114">
        <v>1377001</v>
      </c>
      <c r="K240" s="513">
        <f t="shared" si="108"/>
        <v>19278014</v>
      </c>
      <c r="L240" s="334"/>
      <c r="M240" s="508">
        <f t="shared" ref="M240:M270" si="118">+IF(I240&lt;S240,S240-I240,0)</f>
        <v>2</v>
      </c>
      <c r="N240" s="307">
        <f t="shared" ref="N240:N270" si="119">+IF(I240&gt;S240,-S240+I240,0)</f>
        <v>0</v>
      </c>
      <c r="O240" s="313">
        <f t="shared" ref="O240:O270" si="120">+M240*J240</f>
        <v>2754002</v>
      </c>
      <c r="P240" s="313">
        <f t="shared" ref="P240:P270" si="121">+N240*J240</f>
        <v>0</v>
      </c>
      <c r="Q240" s="511">
        <f t="shared" si="117"/>
        <v>2754002</v>
      </c>
      <c r="R240" s="337"/>
      <c r="S240" s="512">
        <f>14+2</f>
        <v>16</v>
      </c>
      <c r="T240" s="304">
        <f t="shared" ref="T240:T270" si="122">+J240</f>
        <v>1377001</v>
      </c>
      <c r="U240" s="501">
        <f t="shared" si="116"/>
        <v>22032016</v>
      </c>
    </row>
    <row r="241" spans="2:21" ht="58.9" customHeight="1">
      <c r="B241" s="80"/>
      <c r="C241" s="90">
        <v>12.34</v>
      </c>
      <c r="D241" s="97"/>
      <c r="E241" s="97"/>
      <c r="F241" s="97"/>
      <c r="G241" s="98" t="s">
        <v>235</v>
      </c>
      <c r="H241" s="102" t="s">
        <v>202</v>
      </c>
      <c r="I241" s="275">
        <v>134</v>
      </c>
      <c r="J241" s="114">
        <v>3901409</v>
      </c>
      <c r="K241" s="513">
        <f t="shared" si="108"/>
        <v>522788806</v>
      </c>
      <c r="L241" s="334"/>
      <c r="M241" s="508">
        <f>+IF(I241&lt;S241,S241-I241,0)</f>
        <v>0</v>
      </c>
      <c r="N241" s="307">
        <f t="shared" si="119"/>
        <v>0</v>
      </c>
      <c r="O241" s="313">
        <f t="shared" si="120"/>
        <v>0</v>
      </c>
      <c r="P241" s="313">
        <f>+N241*J241</f>
        <v>0</v>
      </c>
      <c r="Q241" s="511">
        <f t="shared" si="117"/>
        <v>0</v>
      </c>
      <c r="R241" s="337"/>
      <c r="S241" s="512">
        <v>134</v>
      </c>
      <c r="T241" s="304">
        <f t="shared" si="122"/>
        <v>3901409</v>
      </c>
      <c r="U241" s="501">
        <f t="shared" si="116"/>
        <v>522788806</v>
      </c>
    </row>
    <row r="242" spans="2:21" ht="51.6" customHeight="1">
      <c r="B242" s="80"/>
      <c r="C242" s="90">
        <v>12.35</v>
      </c>
      <c r="D242" s="97"/>
      <c r="E242" s="97"/>
      <c r="F242" s="97"/>
      <c r="G242" s="98" t="s">
        <v>236</v>
      </c>
      <c r="H242" s="102" t="s">
        <v>202</v>
      </c>
      <c r="I242" s="275">
        <v>16</v>
      </c>
      <c r="J242" s="114">
        <v>3484739</v>
      </c>
      <c r="K242" s="513">
        <f t="shared" si="108"/>
        <v>55755824</v>
      </c>
      <c r="L242" s="334"/>
      <c r="M242" s="508">
        <f t="shared" si="118"/>
        <v>12</v>
      </c>
      <c r="N242" s="307">
        <f t="shared" si="119"/>
        <v>0</v>
      </c>
      <c r="O242" s="313">
        <f t="shared" si="120"/>
        <v>41816868</v>
      </c>
      <c r="P242" s="313">
        <f t="shared" si="121"/>
        <v>0</v>
      </c>
      <c r="Q242" s="511">
        <f t="shared" si="117"/>
        <v>41816868</v>
      </c>
      <c r="R242" s="337"/>
      <c r="S242" s="512">
        <v>28</v>
      </c>
      <c r="T242" s="304">
        <f t="shared" si="122"/>
        <v>3484739</v>
      </c>
      <c r="U242" s="501">
        <f t="shared" si="116"/>
        <v>97572692</v>
      </c>
    </row>
    <row r="243" spans="2:21" ht="48" customHeight="1">
      <c r="B243" s="80"/>
      <c r="C243" s="90">
        <v>12.36</v>
      </c>
      <c r="D243" s="97"/>
      <c r="E243" s="97"/>
      <c r="F243" s="97"/>
      <c r="G243" s="98" t="s">
        <v>237</v>
      </c>
      <c r="H243" s="102" t="s">
        <v>202</v>
      </c>
      <c r="I243" s="275">
        <v>150</v>
      </c>
      <c r="J243" s="114">
        <v>142667</v>
      </c>
      <c r="K243" s="513">
        <f t="shared" si="108"/>
        <v>21400050</v>
      </c>
      <c r="L243" s="334"/>
      <c r="M243" s="508">
        <f t="shared" si="118"/>
        <v>30</v>
      </c>
      <c r="N243" s="307">
        <f t="shared" si="119"/>
        <v>0</v>
      </c>
      <c r="O243" s="313">
        <f t="shared" si="120"/>
        <v>4280010</v>
      </c>
      <c r="P243" s="313">
        <f t="shared" si="121"/>
        <v>0</v>
      </c>
      <c r="Q243" s="511">
        <f t="shared" si="117"/>
        <v>4280010</v>
      </c>
      <c r="R243" s="337"/>
      <c r="S243" s="512">
        <f>148+32</f>
        <v>180</v>
      </c>
      <c r="T243" s="304">
        <f t="shared" si="122"/>
        <v>142667</v>
      </c>
      <c r="U243" s="501">
        <f t="shared" si="116"/>
        <v>25680060</v>
      </c>
    </row>
    <row r="244" spans="2:21" ht="52.9" customHeight="1">
      <c r="B244" s="80"/>
      <c r="C244" s="90">
        <v>12.37</v>
      </c>
      <c r="D244" s="97"/>
      <c r="E244" s="97"/>
      <c r="F244" s="97"/>
      <c r="G244" s="98" t="s">
        <v>238</v>
      </c>
      <c r="H244" s="102" t="s">
        <v>202</v>
      </c>
      <c r="I244" s="275">
        <v>150</v>
      </c>
      <c r="J244" s="114">
        <v>21079</v>
      </c>
      <c r="K244" s="513">
        <f t="shared" si="108"/>
        <v>3161850</v>
      </c>
      <c r="L244" s="334"/>
      <c r="M244" s="508">
        <f t="shared" si="118"/>
        <v>30</v>
      </c>
      <c r="N244" s="307">
        <f t="shared" si="119"/>
        <v>0</v>
      </c>
      <c r="O244" s="313">
        <f t="shared" si="120"/>
        <v>632370</v>
      </c>
      <c r="P244" s="313">
        <f t="shared" si="121"/>
        <v>0</v>
      </c>
      <c r="Q244" s="511">
        <f t="shared" si="117"/>
        <v>632370</v>
      </c>
      <c r="R244" s="337"/>
      <c r="S244" s="512">
        <f>148+32</f>
        <v>180</v>
      </c>
      <c r="T244" s="304">
        <f t="shared" si="122"/>
        <v>21079</v>
      </c>
      <c r="U244" s="501">
        <f t="shared" si="116"/>
        <v>3794220</v>
      </c>
    </row>
    <row r="245" spans="2:21" ht="39.6" customHeight="1">
      <c r="B245" s="80"/>
      <c r="C245" s="90">
        <v>12.38</v>
      </c>
      <c r="D245" s="97"/>
      <c r="E245" s="97"/>
      <c r="F245" s="97"/>
      <c r="G245" s="98" t="s">
        <v>239</v>
      </c>
      <c r="H245" s="102" t="s">
        <v>202</v>
      </c>
      <c r="I245" s="275">
        <v>150</v>
      </c>
      <c r="J245" s="114">
        <v>161643</v>
      </c>
      <c r="K245" s="513">
        <f t="shared" si="108"/>
        <v>24246450</v>
      </c>
      <c r="L245" s="334"/>
      <c r="M245" s="508">
        <f t="shared" si="118"/>
        <v>30</v>
      </c>
      <c r="N245" s="307">
        <f t="shared" si="119"/>
        <v>0</v>
      </c>
      <c r="O245" s="313">
        <f t="shared" si="120"/>
        <v>4849290</v>
      </c>
      <c r="P245" s="313">
        <f t="shared" si="121"/>
        <v>0</v>
      </c>
      <c r="Q245" s="511">
        <f t="shared" si="117"/>
        <v>4849290</v>
      </c>
      <c r="R245" s="337"/>
      <c r="S245" s="512">
        <f>148+32</f>
        <v>180</v>
      </c>
      <c r="T245" s="304">
        <f t="shared" si="122"/>
        <v>161643</v>
      </c>
      <c r="U245" s="501">
        <f t="shared" si="116"/>
        <v>29095740</v>
      </c>
    </row>
    <row r="246" spans="2:21" ht="62.45" customHeight="1">
      <c r="B246" s="80"/>
      <c r="C246" s="90">
        <v>12.39</v>
      </c>
      <c r="D246" s="97"/>
      <c r="E246" s="97"/>
      <c r="F246" s="97"/>
      <c r="G246" s="98" t="s">
        <v>240</v>
      </c>
      <c r="H246" s="102" t="s">
        <v>202</v>
      </c>
      <c r="I246" s="275">
        <v>11</v>
      </c>
      <c r="J246" s="114">
        <v>1119372</v>
      </c>
      <c r="K246" s="513">
        <f t="shared" si="108"/>
        <v>12313092</v>
      </c>
      <c r="L246" s="334"/>
      <c r="M246" s="508">
        <f t="shared" si="118"/>
        <v>0</v>
      </c>
      <c r="N246" s="307">
        <f t="shared" si="119"/>
        <v>4</v>
      </c>
      <c r="O246" s="313">
        <f t="shared" si="120"/>
        <v>0</v>
      </c>
      <c r="P246" s="313">
        <f t="shared" si="121"/>
        <v>4477488</v>
      </c>
      <c r="Q246" s="511">
        <f t="shared" si="117"/>
        <v>-4477488</v>
      </c>
      <c r="R246" s="337"/>
      <c r="S246" s="512">
        <v>7</v>
      </c>
      <c r="T246" s="304">
        <f t="shared" si="122"/>
        <v>1119372</v>
      </c>
      <c r="U246" s="501">
        <f t="shared" si="116"/>
        <v>7835604</v>
      </c>
    </row>
    <row r="247" spans="2:21" ht="50.45" customHeight="1">
      <c r="B247" s="80"/>
      <c r="C247" s="90">
        <v>12.4</v>
      </c>
      <c r="D247" s="97"/>
      <c r="E247" s="97"/>
      <c r="F247" s="97"/>
      <c r="G247" s="98" t="s">
        <v>241</v>
      </c>
      <c r="H247" s="102" t="s">
        <v>202</v>
      </c>
      <c r="I247" s="275">
        <v>50</v>
      </c>
      <c r="J247" s="114">
        <v>84564</v>
      </c>
      <c r="K247" s="513">
        <f t="shared" si="108"/>
        <v>4228200</v>
      </c>
      <c r="L247" s="334"/>
      <c r="M247" s="508">
        <f t="shared" si="118"/>
        <v>0</v>
      </c>
      <c r="N247" s="307">
        <f t="shared" si="119"/>
        <v>8</v>
      </c>
      <c r="O247" s="313">
        <f t="shared" si="120"/>
        <v>0</v>
      </c>
      <c r="P247" s="313">
        <f t="shared" si="121"/>
        <v>676512</v>
      </c>
      <c r="Q247" s="511">
        <f t="shared" si="117"/>
        <v>-676512</v>
      </c>
      <c r="R247" s="337"/>
      <c r="S247" s="512">
        <v>42</v>
      </c>
      <c r="T247" s="304">
        <f t="shared" si="122"/>
        <v>84564</v>
      </c>
      <c r="U247" s="501">
        <f t="shared" si="116"/>
        <v>3551688</v>
      </c>
    </row>
    <row r="248" spans="2:21" ht="52.9" customHeight="1">
      <c r="B248" s="80"/>
      <c r="C248" s="90">
        <v>12.41</v>
      </c>
      <c r="D248" s="97"/>
      <c r="E248" s="97"/>
      <c r="F248" s="97"/>
      <c r="G248" s="98" t="s">
        <v>242</v>
      </c>
      <c r="H248" s="102" t="s">
        <v>202</v>
      </c>
      <c r="I248" s="275">
        <v>1</v>
      </c>
      <c r="J248" s="114">
        <v>264313635</v>
      </c>
      <c r="K248" s="513">
        <f t="shared" si="108"/>
        <v>264313635</v>
      </c>
      <c r="L248" s="334"/>
      <c r="M248" s="508">
        <f t="shared" si="118"/>
        <v>0</v>
      </c>
      <c r="N248" s="307">
        <f t="shared" si="119"/>
        <v>0</v>
      </c>
      <c r="O248" s="313">
        <f t="shared" si="120"/>
        <v>0</v>
      </c>
      <c r="P248" s="313">
        <f t="shared" si="121"/>
        <v>0</v>
      </c>
      <c r="Q248" s="511">
        <f t="shared" si="117"/>
        <v>0</v>
      </c>
      <c r="R248" s="337"/>
      <c r="S248" s="512">
        <v>1</v>
      </c>
      <c r="T248" s="304">
        <f t="shared" si="122"/>
        <v>264313635</v>
      </c>
      <c r="U248" s="501">
        <f t="shared" si="116"/>
        <v>264313635</v>
      </c>
    </row>
    <row r="249" spans="2:21" ht="46.9" customHeight="1">
      <c r="B249" s="80"/>
      <c r="C249" s="90">
        <v>12.42</v>
      </c>
      <c r="D249" s="97"/>
      <c r="E249" s="97"/>
      <c r="F249" s="97"/>
      <c r="G249" s="98" t="s">
        <v>243</v>
      </c>
      <c r="H249" s="102" t="s">
        <v>65</v>
      </c>
      <c r="I249" s="275">
        <v>90</v>
      </c>
      <c r="J249" s="114">
        <v>1028413</v>
      </c>
      <c r="K249" s="513">
        <f t="shared" si="108"/>
        <v>92557170</v>
      </c>
      <c r="L249" s="334"/>
      <c r="M249" s="508">
        <f t="shared" si="118"/>
        <v>15</v>
      </c>
      <c r="N249" s="307">
        <f t="shared" si="119"/>
        <v>0</v>
      </c>
      <c r="O249" s="313">
        <f t="shared" si="120"/>
        <v>15426195</v>
      </c>
      <c r="P249" s="313">
        <f t="shared" si="121"/>
        <v>0</v>
      </c>
      <c r="Q249" s="511">
        <f t="shared" si="117"/>
        <v>15426195</v>
      </c>
      <c r="R249" s="337"/>
      <c r="S249" s="512">
        <v>105</v>
      </c>
      <c r="T249" s="304">
        <f t="shared" si="122"/>
        <v>1028413</v>
      </c>
      <c r="U249" s="501">
        <f t="shared" si="116"/>
        <v>107983365</v>
      </c>
    </row>
    <row r="250" spans="2:21" ht="43.15" customHeight="1">
      <c r="B250" s="80"/>
      <c r="C250" s="90">
        <v>12.43</v>
      </c>
      <c r="D250" s="97"/>
      <c r="E250" s="97"/>
      <c r="F250" s="97"/>
      <c r="G250" s="98" t="s">
        <v>244</v>
      </c>
      <c r="H250" s="102" t="s">
        <v>202</v>
      </c>
      <c r="I250" s="275">
        <v>80</v>
      </c>
      <c r="J250" s="114">
        <v>45527</v>
      </c>
      <c r="K250" s="513">
        <f t="shared" si="108"/>
        <v>3642160</v>
      </c>
      <c r="L250" s="334"/>
      <c r="M250" s="508">
        <f t="shared" si="118"/>
        <v>0</v>
      </c>
      <c r="N250" s="307">
        <f t="shared" si="119"/>
        <v>0</v>
      </c>
      <c r="O250" s="313">
        <f t="shared" si="120"/>
        <v>0</v>
      </c>
      <c r="P250" s="313">
        <f t="shared" si="121"/>
        <v>0</v>
      </c>
      <c r="Q250" s="511">
        <f t="shared" si="117"/>
        <v>0</v>
      </c>
      <c r="R250" s="337"/>
      <c r="S250" s="512">
        <v>80</v>
      </c>
      <c r="T250" s="304">
        <f t="shared" si="122"/>
        <v>45527</v>
      </c>
      <c r="U250" s="501">
        <f t="shared" si="116"/>
        <v>3642160</v>
      </c>
    </row>
    <row r="251" spans="2:21" ht="45.6" customHeight="1">
      <c r="B251" s="80"/>
      <c r="C251" s="90">
        <v>12.44</v>
      </c>
      <c r="D251" s="97"/>
      <c r="E251" s="97"/>
      <c r="F251" s="97"/>
      <c r="G251" s="98" t="s">
        <v>245</v>
      </c>
      <c r="H251" s="102" t="s">
        <v>202</v>
      </c>
      <c r="I251" s="275">
        <v>1</v>
      </c>
      <c r="J251" s="114">
        <v>3273966</v>
      </c>
      <c r="K251" s="513">
        <f t="shared" si="108"/>
        <v>3273966</v>
      </c>
      <c r="L251" s="334"/>
      <c r="M251" s="508">
        <f t="shared" si="118"/>
        <v>0</v>
      </c>
      <c r="N251" s="307">
        <f t="shared" si="119"/>
        <v>0</v>
      </c>
      <c r="O251" s="313">
        <f t="shared" si="120"/>
        <v>0</v>
      </c>
      <c r="P251" s="313">
        <f t="shared" si="121"/>
        <v>0</v>
      </c>
      <c r="Q251" s="511">
        <f t="shared" si="117"/>
        <v>0</v>
      </c>
      <c r="R251" s="337"/>
      <c r="S251" s="512">
        <v>1</v>
      </c>
      <c r="T251" s="304">
        <f t="shared" si="122"/>
        <v>3273966</v>
      </c>
      <c r="U251" s="501">
        <f t="shared" si="116"/>
        <v>3273966</v>
      </c>
    </row>
    <row r="252" spans="2:21" ht="50.45" customHeight="1">
      <c r="B252" s="80"/>
      <c r="C252" s="90">
        <v>12.45</v>
      </c>
      <c r="D252" s="97"/>
      <c r="E252" s="97"/>
      <c r="F252" s="97"/>
      <c r="G252" s="98" t="s">
        <v>246</v>
      </c>
      <c r="H252" s="102" t="s">
        <v>65</v>
      </c>
      <c r="I252" s="275">
        <v>120</v>
      </c>
      <c r="J252" s="114">
        <v>478733</v>
      </c>
      <c r="K252" s="513">
        <f t="shared" si="108"/>
        <v>57447960</v>
      </c>
      <c r="L252" s="334"/>
      <c r="M252" s="508">
        <f t="shared" si="118"/>
        <v>200</v>
      </c>
      <c r="N252" s="307">
        <f t="shared" si="119"/>
        <v>0</v>
      </c>
      <c r="O252" s="313">
        <f t="shared" si="120"/>
        <v>95746600</v>
      </c>
      <c r="P252" s="313">
        <f t="shared" si="121"/>
        <v>0</v>
      </c>
      <c r="Q252" s="511">
        <f t="shared" si="117"/>
        <v>95746600</v>
      </c>
      <c r="R252" s="337"/>
      <c r="S252" s="512">
        <v>320</v>
      </c>
      <c r="T252" s="304">
        <f t="shared" si="122"/>
        <v>478733</v>
      </c>
      <c r="U252" s="501">
        <f t="shared" si="116"/>
        <v>153194560</v>
      </c>
    </row>
    <row r="253" spans="2:21" ht="40.9" customHeight="1">
      <c r="B253" s="80"/>
      <c r="C253" s="90">
        <v>12.46</v>
      </c>
      <c r="D253" s="97"/>
      <c r="E253" s="97"/>
      <c r="F253" s="97"/>
      <c r="G253" s="98" t="s">
        <v>247</v>
      </c>
      <c r="H253" s="102" t="s">
        <v>202</v>
      </c>
      <c r="I253" s="275">
        <v>1</v>
      </c>
      <c r="J253" s="114">
        <v>41391862</v>
      </c>
      <c r="K253" s="513">
        <f t="shared" si="108"/>
        <v>41391862</v>
      </c>
      <c r="L253" s="334"/>
      <c r="M253" s="508">
        <f t="shared" si="118"/>
        <v>0</v>
      </c>
      <c r="N253" s="307">
        <f t="shared" si="119"/>
        <v>0</v>
      </c>
      <c r="O253" s="313">
        <f t="shared" si="120"/>
        <v>0</v>
      </c>
      <c r="P253" s="313">
        <f t="shared" si="121"/>
        <v>0</v>
      </c>
      <c r="Q253" s="511">
        <f t="shared" si="117"/>
        <v>0</v>
      </c>
      <c r="R253" s="337"/>
      <c r="S253" s="512">
        <v>1</v>
      </c>
      <c r="T253" s="304">
        <f t="shared" si="122"/>
        <v>41391862</v>
      </c>
      <c r="U253" s="501">
        <f t="shared" si="116"/>
        <v>41391862</v>
      </c>
    </row>
    <row r="254" spans="2:21" ht="45">
      <c r="B254" s="80"/>
      <c r="C254" s="90">
        <v>12.47</v>
      </c>
      <c r="D254" s="97"/>
      <c r="E254" s="97"/>
      <c r="F254" s="97"/>
      <c r="G254" s="98" t="s">
        <v>248</v>
      </c>
      <c r="H254" s="102" t="s">
        <v>202</v>
      </c>
      <c r="I254" s="275">
        <v>1</v>
      </c>
      <c r="J254" s="114">
        <v>20304904</v>
      </c>
      <c r="K254" s="513">
        <f t="shared" si="108"/>
        <v>20304904</v>
      </c>
      <c r="L254" s="334"/>
      <c r="M254" s="508">
        <f t="shared" si="118"/>
        <v>0</v>
      </c>
      <c r="N254" s="307">
        <f t="shared" si="119"/>
        <v>0</v>
      </c>
      <c r="O254" s="313">
        <f t="shared" si="120"/>
        <v>0</v>
      </c>
      <c r="P254" s="313">
        <f t="shared" si="121"/>
        <v>0</v>
      </c>
      <c r="Q254" s="511">
        <f t="shared" si="117"/>
        <v>0</v>
      </c>
      <c r="R254" s="337"/>
      <c r="S254" s="512">
        <v>1</v>
      </c>
      <c r="T254" s="304">
        <f t="shared" si="122"/>
        <v>20304904</v>
      </c>
      <c r="U254" s="501">
        <f t="shared" si="116"/>
        <v>20304904</v>
      </c>
    </row>
    <row r="255" spans="2:21" ht="56.45" customHeight="1">
      <c r="B255" s="80"/>
      <c r="C255" s="90">
        <v>12.48</v>
      </c>
      <c r="D255" s="97"/>
      <c r="E255" s="97"/>
      <c r="F255" s="97"/>
      <c r="G255" s="98" t="s">
        <v>249</v>
      </c>
      <c r="H255" s="102" t="s">
        <v>202</v>
      </c>
      <c r="I255" s="275">
        <v>1</v>
      </c>
      <c r="J255" s="114">
        <v>88045631</v>
      </c>
      <c r="K255" s="513">
        <f t="shared" si="108"/>
        <v>88045631</v>
      </c>
      <c r="L255" s="334"/>
      <c r="M255" s="508">
        <f t="shared" si="118"/>
        <v>0</v>
      </c>
      <c r="N255" s="307">
        <f t="shared" si="119"/>
        <v>0</v>
      </c>
      <c r="O255" s="313">
        <f t="shared" si="120"/>
        <v>0</v>
      </c>
      <c r="P255" s="313">
        <f t="shared" si="121"/>
        <v>0</v>
      </c>
      <c r="Q255" s="511">
        <f t="shared" si="117"/>
        <v>0</v>
      </c>
      <c r="R255" s="337"/>
      <c r="S255" s="512">
        <v>1</v>
      </c>
      <c r="T255" s="304">
        <f t="shared" si="122"/>
        <v>88045631</v>
      </c>
      <c r="U255" s="501">
        <f t="shared" si="116"/>
        <v>88045631</v>
      </c>
    </row>
    <row r="256" spans="2:21" ht="30" customHeight="1">
      <c r="B256" s="80"/>
      <c r="C256" s="90">
        <v>12.49</v>
      </c>
      <c r="D256" s="97"/>
      <c r="E256" s="97"/>
      <c r="F256" s="97"/>
      <c r="G256" s="98" t="s">
        <v>250</v>
      </c>
      <c r="H256" s="102" t="s">
        <v>65</v>
      </c>
      <c r="I256" s="275">
        <v>170</v>
      </c>
      <c r="J256" s="88">
        <v>402565</v>
      </c>
      <c r="K256" s="510">
        <f t="shared" si="108"/>
        <v>68436050</v>
      </c>
      <c r="L256" s="334"/>
      <c r="M256" s="508">
        <f t="shared" si="118"/>
        <v>100</v>
      </c>
      <c r="N256" s="307">
        <f t="shared" si="119"/>
        <v>0</v>
      </c>
      <c r="O256" s="313">
        <f t="shared" si="120"/>
        <v>40256500</v>
      </c>
      <c r="P256" s="313">
        <f t="shared" si="121"/>
        <v>0</v>
      </c>
      <c r="Q256" s="511">
        <f t="shared" si="117"/>
        <v>40256500</v>
      </c>
      <c r="R256" s="337"/>
      <c r="S256" s="512">
        <v>270</v>
      </c>
      <c r="T256" s="304">
        <f t="shared" si="122"/>
        <v>402565</v>
      </c>
      <c r="U256" s="501">
        <f t="shared" si="116"/>
        <v>108692550</v>
      </c>
    </row>
    <row r="257" spans="2:22" ht="30" customHeight="1">
      <c r="B257" s="80"/>
      <c r="C257" s="90">
        <v>12.5</v>
      </c>
      <c r="D257" s="97"/>
      <c r="E257" s="97"/>
      <c r="F257" s="97"/>
      <c r="G257" s="98" t="s">
        <v>251</v>
      </c>
      <c r="H257" s="102" t="s">
        <v>202</v>
      </c>
      <c r="I257" s="275">
        <v>1</v>
      </c>
      <c r="J257" s="88">
        <v>22064114</v>
      </c>
      <c r="K257" s="510">
        <f t="shared" si="108"/>
        <v>22064114</v>
      </c>
      <c r="L257" s="334"/>
      <c r="M257" s="508">
        <f t="shared" si="118"/>
        <v>0</v>
      </c>
      <c r="N257" s="307">
        <f t="shared" si="119"/>
        <v>0</v>
      </c>
      <c r="O257" s="313">
        <f t="shared" si="120"/>
        <v>0</v>
      </c>
      <c r="P257" s="313">
        <f t="shared" si="121"/>
        <v>0</v>
      </c>
      <c r="Q257" s="511">
        <f t="shared" si="117"/>
        <v>0</v>
      </c>
      <c r="R257" s="337"/>
      <c r="S257" s="512">
        <v>1</v>
      </c>
      <c r="T257" s="304">
        <f t="shared" si="122"/>
        <v>22064114</v>
      </c>
      <c r="U257" s="501">
        <f t="shared" si="116"/>
        <v>22064114</v>
      </c>
    </row>
    <row r="258" spans="2:22" ht="30" customHeight="1">
      <c r="B258" s="80"/>
      <c r="C258" s="90">
        <v>12.51</v>
      </c>
      <c r="D258" s="97"/>
      <c r="E258" s="97"/>
      <c r="F258" s="97"/>
      <c r="G258" s="98" t="s">
        <v>252</v>
      </c>
      <c r="H258" s="102" t="s">
        <v>202</v>
      </c>
      <c r="I258" s="275">
        <v>1</v>
      </c>
      <c r="J258" s="88">
        <v>13486581</v>
      </c>
      <c r="K258" s="510">
        <f t="shared" si="108"/>
        <v>13486581</v>
      </c>
      <c r="L258" s="334"/>
      <c r="M258" s="508">
        <f t="shared" si="118"/>
        <v>0</v>
      </c>
      <c r="N258" s="307">
        <f t="shared" si="119"/>
        <v>0</v>
      </c>
      <c r="O258" s="313">
        <f t="shared" si="120"/>
        <v>0</v>
      </c>
      <c r="P258" s="313">
        <f t="shared" si="121"/>
        <v>0</v>
      </c>
      <c r="Q258" s="511">
        <f t="shared" si="117"/>
        <v>0</v>
      </c>
      <c r="R258" s="337"/>
      <c r="S258" s="512">
        <v>1</v>
      </c>
      <c r="T258" s="304">
        <f t="shared" si="122"/>
        <v>13486581</v>
      </c>
      <c r="U258" s="501">
        <f t="shared" si="116"/>
        <v>13486581</v>
      </c>
    </row>
    <row r="259" spans="2:22" ht="30" customHeight="1">
      <c r="B259" s="80"/>
      <c r="C259" s="90">
        <v>12.52</v>
      </c>
      <c r="D259" s="97"/>
      <c r="E259" s="97"/>
      <c r="F259" s="97"/>
      <c r="G259" s="98" t="s">
        <v>253</v>
      </c>
      <c r="H259" s="102" t="s">
        <v>202</v>
      </c>
      <c r="I259" s="275">
        <v>1</v>
      </c>
      <c r="J259" s="88">
        <v>46574124</v>
      </c>
      <c r="K259" s="510">
        <f t="shared" si="108"/>
        <v>46574124</v>
      </c>
      <c r="L259" s="334"/>
      <c r="M259" s="508">
        <f t="shared" si="118"/>
        <v>0</v>
      </c>
      <c r="N259" s="307">
        <f t="shared" si="119"/>
        <v>0</v>
      </c>
      <c r="O259" s="313">
        <f t="shared" si="120"/>
        <v>0</v>
      </c>
      <c r="P259" s="313">
        <f t="shared" si="121"/>
        <v>0</v>
      </c>
      <c r="Q259" s="511">
        <f t="shared" si="117"/>
        <v>0</v>
      </c>
      <c r="R259" s="337"/>
      <c r="S259" s="512">
        <v>1</v>
      </c>
      <c r="T259" s="304">
        <f t="shared" si="122"/>
        <v>46574124</v>
      </c>
      <c r="U259" s="501">
        <f t="shared" si="116"/>
        <v>46574124</v>
      </c>
    </row>
    <row r="260" spans="2:22" ht="30" customHeight="1">
      <c r="B260" s="80"/>
      <c r="C260" s="90">
        <v>12.53</v>
      </c>
      <c r="D260" s="97"/>
      <c r="E260" s="97"/>
      <c r="F260" s="97"/>
      <c r="G260" s="98" t="s">
        <v>254</v>
      </c>
      <c r="H260" s="102" t="s">
        <v>202</v>
      </c>
      <c r="I260" s="275">
        <v>1</v>
      </c>
      <c r="J260" s="88">
        <v>53200756</v>
      </c>
      <c r="K260" s="510">
        <f t="shared" si="108"/>
        <v>53200756</v>
      </c>
      <c r="L260" s="334"/>
      <c r="M260" s="508">
        <f t="shared" si="118"/>
        <v>0</v>
      </c>
      <c r="N260" s="307">
        <f t="shared" si="119"/>
        <v>0</v>
      </c>
      <c r="O260" s="313">
        <f t="shared" si="120"/>
        <v>0</v>
      </c>
      <c r="P260" s="313">
        <f t="shared" si="121"/>
        <v>0</v>
      </c>
      <c r="Q260" s="511">
        <f t="shared" si="117"/>
        <v>0</v>
      </c>
      <c r="R260" s="337"/>
      <c r="S260" s="512">
        <v>1</v>
      </c>
      <c r="T260" s="304">
        <f t="shared" si="122"/>
        <v>53200756</v>
      </c>
      <c r="U260" s="501">
        <f t="shared" si="116"/>
        <v>53200756</v>
      </c>
    </row>
    <row r="261" spans="2:22" ht="30" customHeight="1">
      <c r="B261" s="80"/>
      <c r="C261" s="90">
        <v>12.54</v>
      </c>
      <c r="D261" s="97"/>
      <c r="E261" s="97"/>
      <c r="F261" s="97"/>
      <c r="G261" s="98" t="s">
        <v>255</v>
      </c>
      <c r="H261" s="102" t="s">
        <v>202</v>
      </c>
      <c r="I261" s="275">
        <v>1</v>
      </c>
      <c r="J261" s="88">
        <v>38433457</v>
      </c>
      <c r="K261" s="510">
        <f t="shared" si="108"/>
        <v>38433457</v>
      </c>
      <c r="L261" s="334"/>
      <c r="M261" s="508">
        <f t="shared" si="118"/>
        <v>0</v>
      </c>
      <c r="N261" s="307">
        <f t="shared" si="119"/>
        <v>0</v>
      </c>
      <c r="O261" s="313">
        <f t="shared" si="120"/>
        <v>0</v>
      </c>
      <c r="P261" s="313">
        <f t="shared" si="121"/>
        <v>0</v>
      </c>
      <c r="Q261" s="511">
        <f t="shared" si="117"/>
        <v>0</v>
      </c>
      <c r="R261" s="337"/>
      <c r="S261" s="512">
        <v>1</v>
      </c>
      <c r="T261" s="304">
        <f t="shared" si="122"/>
        <v>38433457</v>
      </c>
      <c r="U261" s="501">
        <f t="shared" si="116"/>
        <v>38433457</v>
      </c>
    </row>
    <row r="262" spans="2:22" ht="30" customHeight="1">
      <c r="B262" s="80"/>
      <c r="C262" s="90">
        <v>12.55</v>
      </c>
      <c r="D262" s="97"/>
      <c r="E262" s="97"/>
      <c r="F262" s="97"/>
      <c r="G262" s="98" t="s">
        <v>256</v>
      </c>
      <c r="H262" s="102" t="s">
        <v>202</v>
      </c>
      <c r="I262" s="275">
        <v>1</v>
      </c>
      <c r="J262" s="88">
        <v>46276606</v>
      </c>
      <c r="K262" s="510">
        <f t="shared" si="108"/>
        <v>46276606</v>
      </c>
      <c r="L262" s="334"/>
      <c r="M262" s="508">
        <f t="shared" si="118"/>
        <v>0</v>
      </c>
      <c r="N262" s="307">
        <f t="shared" si="119"/>
        <v>0</v>
      </c>
      <c r="O262" s="313">
        <f t="shared" si="120"/>
        <v>0</v>
      </c>
      <c r="P262" s="313">
        <f t="shared" si="121"/>
        <v>0</v>
      </c>
      <c r="Q262" s="511">
        <f t="shared" si="117"/>
        <v>0</v>
      </c>
      <c r="R262" s="337"/>
      <c r="S262" s="512">
        <v>1</v>
      </c>
      <c r="T262" s="304">
        <f t="shared" si="122"/>
        <v>46276606</v>
      </c>
      <c r="U262" s="501">
        <f t="shared" si="116"/>
        <v>46276606</v>
      </c>
    </row>
    <row r="263" spans="2:22" ht="30" customHeight="1">
      <c r="B263" s="80"/>
      <c r="C263" s="90">
        <v>12.56</v>
      </c>
      <c r="D263" s="97"/>
      <c r="E263" s="97"/>
      <c r="F263" s="97"/>
      <c r="G263" s="98" t="s">
        <v>257</v>
      </c>
      <c r="H263" s="102" t="s">
        <v>202</v>
      </c>
      <c r="I263" s="275">
        <v>1</v>
      </c>
      <c r="J263" s="88">
        <v>34756957</v>
      </c>
      <c r="K263" s="510">
        <f t="shared" si="108"/>
        <v>34756957</v>
      </c>
      <c r="L263" s="334"/>
      <c r="M263" s="508">
        <f t="shared" si="118"/>
        <v>0</v>
      </c>
      <c r="N263" s="307">
        <f t="shared" si="119"/>
        <v>0</v>
      </c>
      <c r="O263" s="313">
        <f t="shared" si="120"/>
        <v>0</v>
      </c>
      <c r="P263" s="313">
        <f t="shared" si="121"/>
        <v>0</v>
      </c>
      <c r="Q263" s="511">
        <f t="shared" si="117"/>
        <v>0</v>
      </c>
      <c r="R263" s="337"/>
      <c r="S263" s="512">
        <v>1</v>
      </c>
      <c r="T263" s="304">
        <f t="shared" si="122"/>
        <v>34756957</v>
      </c>
      <c r="U263" s="501">
        <f t="shared" si="116"/>
        <v>34756957</v>
      </c>
    </row>
    <row r="264" spans="2:22" ht="30" customHeight="1">
      <c r="B264" s="80"/>
      <c r="C264" s="90">
        <v>12.57</v>
      </c>
      <c r="D264" s="97"/>
      <c r="E264" s="97"/>
      <c r="F264" s="97"/>
      <c r="G264" s="98" t="s">
        <v>258</v>
      </c>
      <c r="H264" s="102" t="s">
        <v>202</v>
      </c>
      <c r="I264" s="275">
        <v>2</v>
      </c>
      <c r="J264" s="88">
        <v>1881231</v>
      </c>
      <c r="K264" s="510">
        <f t="shared" si="108"/>
        <v>3762462</v>
      </c>
      <c r="L264" s="334"/>
      <c r="M264" s="508">
        <f t="shared" si="118"/>
        <v>0</v>
      </c>
      <c r="N264" s="307">
        <f t="shared" si="119"/>
        <v>0</v>
      </c>
      <c r="O264" s="313">
        <f t="shared" si="120"/>
        <v>0</v>
      </c>
      <c r="P264" s="313">
        <f t="shared" si="121"/>
        <v>0</v>
      </c>
      <c r="Q264" s="511">
        <f t="shared" si="117"/>
        <v>0</v>
      </c>
      <c r="R264" s="337"/>
      <c r="S264" s="512">
        <v>2</v>
      </c>
      <c r="T264" s="304">
        <f t="shared" si="122"/>
        <v>1881231</v>
      </c>
      <c r="U264" s="501">
        <f t="shared" si="116"/>
        <v>3762462</v>
      </c>
    </row>
    <row r="265" spans="2:22" ht="30" customHeight="1">
      <c r="B265" s="80"/>
      <c r="C265" s="90">
        <v>12.58</v>
      </c>
      <c r="D265" s="97"/>
      <c r="E265" s="97"/>
      <c r="F265" s="97"/>
      <c r="G265" s="98" t="s">
        <v>259</v>
      </c>
      <c r="H265" s="102" t="s">
        <v>202</v>
      </c>
      <c r="I265" s="275">
        <v>1</v>
      </c>
      <c r="J265" s="88">
        <v>392160</v>
      </c>
      <c r="K265" s="510">
        <f t="shared" si="108"/>
        <v>392160</v>
      </c>
      <c r="L265" s="334"/>
      <c r="M265" s="508">
        <f t="shared" si="118"/>
        <v>0</v>
      </c>
      <c r="N265" s="307">
        <f t="shared" si="119"/>
        <v>0</v>
      </c>
      <c r="O265" s="313">
        <f t="shared" si="120"/>
        <v>0</v>
      </c>
      <c r="P265" s="313">
        <f t="shared" si="121"/>
        <v>0</v>
      </c>
      <c r="Q265" s="511">
        <f t="shared" si="117"/>
        <v>0</v>
      </c>
      <c r="R265" s="337"/>
      <c r="S265" s="512">
        <v>1</v>
      </c>
      <c r="T265" s="304">
        <f t="shared" si="122"/>
        <v>392160</v>
      </c>
      <c r="U265" s="501">
        <f t="shared" si="116"/>
        <v>392160</v>
      </c>
    </row>
    <row r="266" spans="2:22" ht="30" customHeight="1">
      <c r="B266" s="80"/>
      <c r="C266" s="90">
        <v>12.59</v>
      </c>
      <c r="D266" s="97"/>
      <c r="E266" s="97"/>
      <c r="F266" s="97"/>
      <c r="G266" s="98" t="s">
        <v>260</v>
      </c>
      <c r="H266" s="102" t="s">
        <v>65</v>
      </c>
      <c r="I266" s="275">
        <v>1330</v>
      </c>
      <c r="J266" s="88">
        <v>31562</v>
      </c>
      <c r="K266" s="510">
        <f t="shared" si="108"/>
        <v>41977460</v>
      </c>
      <c r="L266" s="334"/>
      <c r="M266" s="508">
        <f t="shared" si="118"/>
        <v>640</v>
      </c>
      <c r="N266" s="307">
        <f t="shared" si="119"/>
        <v>0</v>
      </c>
      <c r="O266" s="313">
        <f t="shared" si="120"/>
        <v>20199680</v>
      </c>
      <c r="P266" s="313">
        <f t="shared" si="121"/>
        <v>0</v>
      </c>
      <c r="Q266" s="511">
        <f t="shared" si="117"/>
        <v>20199680</v>
      </c>
      <c r="R266" s="337"/>
      <c r="S266" s="512">
        <v>1970</v>
      </c>
      <c r="T266" s="304">
        <f t="shared" si="122"/>
        <v>31562</v>
      </c>
      <c r="U266" s="501">
        <f t="shared" si="116"/>
        <v>62177140</v>
      </c>
    </row>
    <row r="267" spans="2:22" ht="30" customHeight="1">
      <c r="B267" s="80"/>
      <c r="C267" s="90">
        <v>12.6</v>
      </c>
      <c r="D267" s="97"/>
      <c r="E267" s="97"/>
      <c r="F267" s="97"/>
      <c r="G267" s="98" t="s">
        <v>261</v>
      </c>
      <c r="H267" s="102" t="s">
        <v>202</v>
      </c>
      <c r="I267" s="275">
        <v>1</v>
      </c>
      <c r="J267" s="88">
        <v>2355601</v>
      </c>
      <c r="K267" s="510">
        <f t="shared" si="108"/>
        <v>2355601</v>
      </c>
      <c r="L267" s="334"/>
      <c r="M267" s="508">
        <f t="shared" si="118"/>
        <v>3</v>
      </c>
      <c r="N267" s="307">
        <f t="shared" si="119"/>
        <v>0</v>
      </c>
      <c r="O267" s="313">
        <f t="shared" si="120"/>
        <v>7066803</v>
      </c>
      <c r="P267" s="313">
        <f t="shared" si="121"/>
        <v>0</v>
      </c>
      <c r="Q267" s="511">
        <f t="shared" si="117"/>
        <v>7066803</v>
      </c>
      <c r="R267" s="337"/>
      <c r="S267" s="512">
        <v>4</v>
      </c>
      <c r="T267" s="304">
        <f t="shared" si="122"/>
        <v>2355601</v>
      </c>
      <c r="U267" s="501">
        <f t="shared" si="116"/>
        <v>9422404</v>
      </c>
    </row>
    <row r="268" spans="2:22" ht="30" customHeight="1">
      <c r="B268" s="80"/>
      <c r="C268" s="90">
        <v>12.61</v>
      </c>
      <c r="D268" s="97"/>
      <c r="E268" s="97"/>
      <c r="F268" s="97"/>
      <c r="G268" s="98" t="s">
        <v>262</v>
      </c>
      <c r="H268" s="102" t="s">
        <v>202</v>
      </c>
      <c r="I268" s="275">
        <v>1</v>
      </c>
      <c r="J268" s="88">
        <v>13002555</v>
      </c>
      <c r="K268" s="510">
        <f t="shared" si="108"/>
        <v>13002555</v>
      </c>
      <c r="L268" s="334"/>
      <c r="M268" s="508">
        <f t="shared" si="118"/>
        <v>0</v>
      </c>
      <c r="N268" s="307">
        <f t="shared" si="119"/>
        <v>0</v>
      </c>
      <c r="O268" s="313">
        <f t="shared" si="120"/>
        <v>0</v>
      </c>
      <c r="P268" s="313">
        <f t="shared" si="121"/>
        <v>0</v>
      </c>
      <c r="Q268" s="511">
        <f t="shared" si="117"/>
        <v>0</v>
      </c>
      <c r="R268" s="337"/>
      <c r="S268" s="512">
        <v>1</v>
      </c>
      <c r="T268" s="304">
        <f t="shared" si="122"/>
        <v>13002555</v>
      </c>
      <c r="U268" s="501">
        <f t="shared" si="116"/>
        <v>13002555</v>
      </c>
    </row>
    <row r="269" spans="2:22" ht="30" customHeight="1">
      <c r="B269" s="80"/>
      <c r="C269" s="90">
        <v>12.62</v>
      </c>
      <c r="D269" s="97"/>
      <c r="E269" s="97"/>
      <c r="F269" s="97"/>
      <c r="G269" s="98" t="s">
        <v>263</v>
      </c>
      <c r="H269" s="102" t="s">
        <v>202</v>
      </c>
      <c r="I269" s="275">
        <v>1</v>
      </c>
      <c r="J269" s="88">
        <v>47080568</v>
      </c>
      <c r="K269" s="510">
        <f t="shared" si="108"/>
        <v>47080568</v>
      </c>
      <c r="L269" s="334"/>
      <c r="M269" s="508">
        <f t="shared" si="118"/>
        <v>0</v>
      </c>
      <c r="N269" s="307">
        <f t="shared" si="119"/>
        <v>0</v>
      </c>
      <c r="O269" s="313">
        <f t="shared" si="120"/>
        <v>0</v>
      </c>
      <c r="P269" s="313">
        <f t="shared" si="121"/>
        <v>0</v>
      </c>
      <c r="Q269" s="511">
        <f t="shared" si="117"/>
        <v>0</v>
      </c>
      <c r="R269" s="337"/>
      <c r="S269" s="512">
        <v>1</v>
      </c>
      <c r="T269" s="304">
        <f t="shared" si="122"/>
        <v>47080568</v>
      </c>
      <c r="U269" s="501">
        <f t="shared" si="116"/>
        <v>47080568</v>
      </c>
    </row>
    <row r="270" spans="2:22" ht="30" customHeight="1">
      <c r="B270" s="80"/>
      <c r="C270" s="90">
        <v>12.63</v>
      </c>
      <c r="D270" s="97"/>
      <c r="E270" s="97"/>
      <c r="F270" s="97"/>
      <c r="G270" s="98" t="s">
        <v>264</v>
      </c>
      <c r="H270" s="102" t="s">
        <v>202</v>
      </c>
      <c r="I270" s="275">
        <v>1</v>
      </c>
      <c r="J270" s="88">
        <v>26538124</v>
      </c>
      <c r="K270" s="510">
        <f t="shared" si="108"/>
        <v>26538124</v>
      </c>
      <c r="L270" s="334"/>
      <c r="M270" s="508">
        <f t="shared" si="118"/>
        <v>0</v>
      </c>
      <c r="N270" s="307">
        <f t="shared" si="119"/>
        <v>0</v>
      </c>
      <c r="O270" s="313">
        <f t="shared" si="120"/>
        <v>0</v>
      </c>
      <c r="P270" s="313">
        <f t="shared" si="121"/>
        <v>0</v>
      </c>
      <c r="Q270" s="511">
        <f t="shared" si="117"/>
        <v>0</v>
      </c>
      <c r="R270" s="337"/>
      <c r="S270" s="512">
        <v>1</v>
      </c>
      <c r="T270" s="304">
        <f t="shared" si="122"/>
        <v>26538124</v>
      </c>
      <c r="U270" s="501">
        <f t="shared" si="116"/>
        <v>26538124</v>
      </c>
    </row>
    <row r="271" spans="2:22" ht="30" customHeight="1" thickBot="1">
      <c r="B271" s="80"/>
      <c r="C271" s="103" t="s">
        <v>8</v>
      </c>
      <c r="D271" s="592"/>
      <c r="E271" s="592"/>
      <c r="F271" s="592"/>
      <c r="G271" s="593"/>
      <c r="H271" s="592"/>
      <c r="I271" s="507"/>
      <c r="J271" s="104"/>
      <c r="K271" s="514">
        <f>SUM(K208:K270)</f>
        <v>5272226934</v>
      </c>
      <c r="L271" s="335"/>
      <c r="M271" s="508"/>
      <c r="N271" s="502"/>
      <c r="O271" s="290">
        <f>SUM(O208:O270)</f>
        <v>775541875</v>
      </c>
      <c r="P271" s="290">
        <f>SUM(P208:P270)</f>
        <v>618932619</v>
      </c>
      <c r="Q271" s="515">
        <f>SUM(Q208:Q270)</f>
        <v>156609256</v>
      </c>
      <c r="R271" s="338"/>
      <c r="S271" s="516"/>
      <c r="T271" s="309"/>
      <c r="U271" s="506">
        <f>SUM(U208:U270)</f>
        <v>5428836190</v>
      </c>
      <c r="V271" s="332"/>
    </row>
    <row r="272" spans="2:22" ht="30" customHeight="1" thickBot="1">
      <c r="B272" s="80"/>
      <c r="C272" s="886" t="s">
        <v>265</v>
      </c>
      <c r="D272" s="887"/>
      <c r="E272" s="887"/>
      <c r="F272" s="887"/>
      <c r="G272" s="887"/>
      <c r="H272" s="887"/>
      <c r="I272" s="887"/>
      <c r="J272" s="887"/>
      <c r="K272" s="889"/>
      <c r="L272" s="920"/>
      <c r="M272" s="920"/>
      <c r="N272" s="887"/>
      <c r="O272" s="887"/>
      <c r="P272" s="887"/>
      <c r="Q272" s="920"/>
      <c r="R272" s="589"/>
      <c r="S272" s="589"/>
      <c r="T272" s="589"/>
      <c r="U272" s="500"/>
    </row>
    <row r="273" spans="2:22" ht="30" customHeight="1">
      <c r="B273" s="80"/>
      <c r="C273" s="84">
        <v>13.1</v>
      </c>
      <c r="D273" s="251"/>
      <c r="E273" s="251"/>
      <c r="F273" s="251"/>
      <c r="G273" s="252" t="s">
        <v>266</v>
      </c>
      <c r="H273" s="251" t="s">
        <v>267</v>
      </c>
      <c r="I273" s="249">
        <v>3</v>
      </c>
      <c r="J273" s="246">
        <v>369570</v>
      </c>
      <c r="K273" s="88">
        <f>I273*J273</f>
        <v>1108710</v>
      </c>
      <c r="L273" s="892"/>
      <c r="M273" s="307">
        <f>+IF(I273&lt;S273,S273-I273,0)</f>
        <v>0</v>
      </c>
      <c r="N273" s="307">
        <f>+IF(I273&gt;S273,-S273+I273,0)</f>
        <v>0</v>
      </c>
      <c r="O273" s="313">
        <f>+M273*J273</f>
        <v>0</v>
      </c>
      <c r="P273" s="313">
        <f>+N273*J273</f>
        <v>0</v>
      </c>
      <c r="Q273" s="313">
        <f t="shared" ref="Q273" si="123">+O273-P273</f>
        <v>0</v>
      </c>
      <c r="R273" s="295"/>
      <c r="S273" s="303">
        <v>3</v>
      </c>
      <c r="T273" s="304">
        <f>+J273</f>
        <v>369570</v>
      </c>
      <c r="U273" s="501">
        <f t="shared" ref="U273" si="124">+S273*T273</f>
        <v>1108710</v>
      </c>
    </row>
    <row r="274" spans="2:22" ht="30" customHeight="1">
      <c r="B274" s="80"/>
      <c r="C274" s="84">
        <v>13.2</v>
      </c>
      <c r="D274" s="97"/>
      <c r="E274" s="97"/>
      <c r="F274" s="97"/>
      <c r="G274" s="98" t="s">
        <v>268</v>
      </c>
      <c r="H274" s="97" t="s">
        <v>267</v>
      </c>
      <c r="I274" s="87">
        <v>3</v>
      </c>
      <c r="J274" s="88">
        <v>4903298</v>
      </c>
      <c r="K274" s="88">
        <f>I274*J274</f>
        <v>14709894</v>
      </c>
      <c r="L274" s="893"/>
      <c r="M274" s="307">
        <f>+IF(I274&lt;S274,S274-I274,0)</f>
        <v>0</v>
      </c>
      <c r="N274" s="307">
        <f>+IF(I274&gt;S274,-S274+I274,0)</f>
        <v>0</v>
      </c>
      <c r="O274" s="313">
        <f>+M274*J274</f>
        <v>0</v>
      </c>
      <c r="P274" s="313">
        <f>+N274*J274</f>
        <v>0</v>
      </c>
      <c r="Q274" s="313">
        <f t="shared" ref="Q274" si="125">+O274-P274</f>
        <v>0</v>
      </c>
      <c r="R274" s="295"/>
      <c r="S274" s="303">
        <v>3</v>
      </c>
      <c r="T274" s="304">
        <f>+J274</f>
        <v>4903298</v>
      </c>
      <c r="U274" s="501">
        <f t="shared" ref="U274" si="126">+S274*T274</f>
        <v>14709894</v>
      </c>
    </row>
    <row r="275" spans="2:22" ht="30" customHeight="1" thickBot="1">
      <c r="B275" s="80"/>
      <c r="C275" s="259" t="s">
        <v>8</v>
      </c>
      <c r="D275" s="594"/>
      <c r="E275" s="594"/>
      <c r="F275" s="594"/>
      <c r="G275" s="595"/>
      <c r="H275" s="592"/>
      <c r="I275" s="507"/>
      <c r="J275" s="104"/>
      <c r="K275" s="306">
        <f>SUM(K273:K274)</f>
        <v>15818604</v>
      </c>
      <c r="L275" s="894"/>
      <c r="M275" s="307"/>
      <c r="N275" s="307"/>
      <c r="O275" s="305">
        <f t="shared" ref="O275:P275" si="127">SUM(O273:O274)</f>
        <v>0</v>
      </c>
      <c r="P275" s="305">
        <f t="shared" si="127"/>
        <v>0</v>
      </c>
      <c r="Q275" s="305">
        <f>SUM(Q273:Q274)</f>
        <v>0</v>
      </c>
      <c r="R275" s="295"/>
      <c r="S275" s="309"/>
      <c r="T275" s="309"/>
      <c r="U275" s="506">
        <f>SUM(U273:U274)</f>
        <v>15818604</v>
      </c>
      <c r="V275" s="332"/>
    </row>
    <row r="276" spans="2:22" ht="30" customHeight="1" thickBot="1">
      <c r="B276" s="80"/>
      <c r="C276" s="886" t="s">
        <v>269</v>
      </c>
      <c r="D276" s="887"/>
      <c r="E276" s="887"/>
      <c r="F276" s="887"/>
      <c r="G276" s="887"/>
      <c r="H276" s="887"/>
      <c r="I276" s="887"/>
      <c r="J276" s="887"/>
      <c r="K276" s="889"/>
      <c r="L276" s="887"/>
      <c r="M276" s="920"/>
      <c r="N276" s="920"/>
      <c r="O276" s="920"/>
      <c r="P276" s="920"/>
      <c r="Q276" s="920"/>
      <c r="R276" s="589"/>
      <c r="S276" s="589"/>
      <c r="T276" s="589"/>
      <c r="U276" s="500"/>
    </row>
    <row r="277" spans="2:22" ht="30" customHeight="1">
      <c r="B277" s="80"/>
      <c r="C277" s="106">
        <v>14.1</v>
      </c>
      <c r="D277" s="251"/>
      <c r="E277" s="251"/>
      <c r="F277" s="251"/>
      <c r="G277" s="252" t="s">
        <v>270</v>
      </c>
      <c r="H277" s="251" t="s">
        <v>202</v>
      </c>
      <c r="I277" s="249">
        <v>2</v>
      </c>
      <c r="J277" s="246">
        <v>5043048</v>
      </c>
      <c r="K277" s="88">
        <f t="shared" ref="K277:K282" si="128">I277*J277</f>
        <v>10086096</v>
      </c>
      <c r="L277" s="921"/>
      <c r="M277" s="307">
        <f t="shared" ref="M277:M282" si="129">+IF(I277&lt;S277,S277-I277,0)</f>
        <v>0</v>
      </c>
      <c r="N277" s="307">
        <f t="shared" ref="N277:N282" si="130">+IF(I277&gt;S277,-S277+I277,0)</f>
        <v>0</v>
      </c>
      <c r="O277" s="313">
        <f t="shared" ref="O277:O282" si="131">+M277*J277</f>
        <v>0</v>
      </c>
      <c r="P277" s="313">
        <f t="shared" ref="P277:P282" si="132">+N277*J277</f>
        <v>0</v>
      </c>
      <c r="Q277" s="313">
        <f t="shared" ref="Q277" si="133">+O277-P277</f>
        <v>0</v>
      </c>
      <c r="R277" s="244"/>
      <c r="S277" s="303">
        <f>+'MEMORIAS DE CANTIDADES'!L2372</f>
        <v>2</v>
      </c>
      <c r="T277" s="304">
        <f t="shared" ref="T277:T282" si="134">+J277</f>
        <v>5043048</v>
      </c>
      <c r="U277" s="501">
        <f t="shared" ref="U277" si="135">+S277*T277</f>
        <v>10086096</v>
      </c>
    </row>
    <row r="278" spans="2:22" ht="47.25" customHeight="1">
      <c r="B278" s="80"/>
      <c r="C278" s="106">
        <v>14.2</v>
      </c>
      <c r="D278" s="99"/>
      <c r="E278" s="99"/>
      <c r="F278" s="99"/>
      <c r="G278" s="98" t="s">
        <v>271</v>
      </c>
      <c r="H278" s="97" t="s">
        <v>267</v>
      </c>
      <c r="I278" s="87">
        <v>1813</v>
      </c>
      <c r="J278" s="88">
        <v>168744</v>
      </c>
      <c r="K278" s="88">
        <f t="shared" si="128"/>
        <v>305932872</v>
      </c>
      <c r="L278" s="922"/>
      <c r="M278" s="307">
        <f t="shared" si="129"/>
        <v>0</v>
      </c>
      <c r="N278" s="307">
        <f t="shared" si="130"/>
        <v>110</v>
      </c>
      <c r="O278" s="313">
        <f t="shared" si="131"/>
        <v>0</v>
      </c>
      <c r="P278" s="313">
        <f t="shared" si="132"/>
        <v>18561840</v>
      </c>
      <c r="Q278" s="313">
        <f t="shared" ref="Q278:Q282" si="136">+O278-P278</f>
        <v>-18561840</v>
      </c>
      <c r="R278" s="244"/>
      <c r="S278" s="303">
        <f>+'MEMORIAS DE CANTIDADES'!L2383</f>
        <v>1703</v>
      </c>
      <c r="T278" s="304">
        <f t="shared" si="134"/>
        <v>168744</v>
      </c>
      <c r="U278" s="501">
        <f t="shared" ref="U278:U282" si="137">+S278*T278</f>
        <v>287371032</v>
      </c>
      <c r="V278" s="148"/>
    </row>
    <row r="279" spans="2:22" ht="45">
      <c r="B279" s="80"/>
      <c r="C279" s="106">
        <v>14.3</v>
      </c>
      <c r="D279" s="97"/>
      <c r="E279" s="97"/>
      <c r="F279" s="97"/>
      <c r="G279" s="98" t="s">
        <v>272</v>
      </c>
      <c r="H279" s="97" t="s">
        <v>21</v>
      </c>
      <c r="I279" s="87">
        <v>608</v>
      </c>
      <c r="J279" s="88">
        <v>57302</v>
      </c>
      <c r="K279" s="88">
        <f t="shared" si="128"/>
        <v>34839616</v>
      </c>
      <c r="L279" s="922"/>
      <c r="M279" s="307">
        <f t="shared" si="129"/>
        <v>1596.6</v>
      </c>
      <c r="N279" s="307">
        <f t="shared" si="130"/>
        <v>0</v>
      </c>
      <c r="O279" s="313">
        <f t="shared" si="131"/>
        <v>91488373.199999988</v>
      </c>
      <c r="P279" s="313">
        <f t="shared" si="132"/>
        <v>0</v>
      </c>
      <c r="Q279" s="313">
        <f t="shared" si="136"/>
        <v>91488373.199999988</v>
      </c>
      <c r="R279" s="244"/>
      <c r="S279" s="303">
        <f>+'MEMORIAS DE CANTIDADES'!L2396</f>
        <v>2204.6</v>
      </c>
      <c r="T279" s="304">
        <f t="shared" si="134"/>
        <v>57302</v>
      </c>
      <c r="U279" s="501">
        <f t="shared" si="137"/>
        <v>126327989.19999999</v>
      </c>
    </row>
    <row r="280" spans="2:22" ht="30" customHeight="1">
      <c r="B280" s="80"/>
      <c r="C280" s="106">
        <v>14.4</v>
      </c>
      <c r="D280" s="95"/>
      <c r="E280" s="95"/>
      <c r="F280" s="95"/>
      <c r="G280" s="100" t="s">
        <v>273</v>
      </c>
      <c r="H280" s="95" t="s">
        <v>202</v>
      </c>
      <c r="I280" s="87">
        <v>2</v>
      </c>
      <c r="J280" s="88">
        <v>11613321</v>
      </c>
      <c r="K280" s="88">
        <f t="shared" si="128"/>
        <v>23226642</v>
      </c>
      <c r="L280" s="922"/>
      <c r="M280" s="307">
        <f t="shared" si="129"/>
        <v>0</v>
      </c>
      <c r="N280" s="307">
        <f t="shared" si="130"/>
        <v>0</v>
      </c>
      <c r="O280" s="313">
        <f t="shared" si="131"/>
        <v>0</v>
      </c>
      <c r="P280" s="313">
        <f t="shared" si="132"/>
        <v>0</v>
      </c>
      <c r="Q280" s="313">
        <f t="shared" si="136"/>
        <v>0</v>
      </c>
      <c r="R280" s="244"/>
      <c r="S280" s="303">
        <f>+'MEMORIAS DE CANTIDADES'!L2407</f>
        <v>2</v>
      </c>
      <c r="T280" s="304">
        <f t="shared" si="134"/>
        <v>11613321</v>
      </c>
      <c r="U280" s="501">
        <f t="shared" si="137"/>
        <v>23226642</v>
      </c>
    </row>
    <row r="281" spans="2:22" ht="30" customHeight="1">
      <c r="B281" s="80"/>
      <c r="C281" s="106">
        <v>14.5</v>
      </c>
      <c r="D281" s="97"/>
      <c r="E281" s="97"/>
      <c r="F281" s="97"/>
      <c r="G281" s="98" t="s">
        <v>274</v>
      </c>
      <c r="H281" s="97" t="s">
        <v>23</v>
      </c>
      <c r="I281" s="87">
        <v>346.59999999999997</v>
      </c>
      <c r="J281" s="101">
        <v>7696</v>
      </c>
      <c r="K281" s="88">
        <f t="shared" si="128"/>
        <v>2667433.5999999996</v>
      </c>
      <c r="L281" s="922"/>
      <c r="M281" s="307">
        <f t="shared" si="129"/>
        <v>74.400000000000034</v>
      </c>
      <c r="N281" s="307">
        <f t="shared" si="130"/>
        <v>0</v>
      </c>
      <c r="O281" s="313">
        <f t="shared" si="131"/>
        <v>572582.40000000026</v>
      </c>
      <c r="P281" s="313">
        <f t="shared" si="132"/>
        <v>0</v>
      </c>
      <c r="Q281" s="313">
        <f t="shared" si="136"/>
        <v>572582.40000000026</v>
      </c>
      <c r="R281" s="244"/>
      <c r="S281" s="303">
        <f>+'MEMORIAS DE CANTIDADES'!L2418</f>
        <v>421</v>
      </c>
      <c r="T281" s="304">
        <f t="shared" si="134"/>
        <v>7696</v>
      </c>
      <c r="U281" s="501">
        <f t="shared" si="137"/>
        <v>3240016</v>
      </c>
    </row>
    <row r="282" spans="2:22" ht="30" customHeight="1">
      <c r="B282" s="80"/>
      <c r="C282" s="106">
        <v>14.6</v>
      </c>
      <c r="D282" s="95"/>
      <c r="E282" s="95"/>
      <c r="F282" s="95"/>
      <c r="G282" s="100" t="s">
        <v>275</v>
      </c>
      <c r="H282" s="95" t="s">
        <v>276</v>
      </c>
      <c r="I282" s="87">
        <v>1</v>
      </c>
      <c r="J282" s="101">
        <v>3837755</v>
      </c>
      <c r="K282" s="88">
        <f t="shared" si="128"/>
        <v>3837755</v>
      </c>
      <c r="L282" s="922"/>
      <c r="M282" s="307">
        <f t="shared" si="129"/>
        <v>0</v>
      </c>
      <c r="N282" s="307">
        <f t="shared" si="130"/>
        <v>0</v>
      </c>
      <c r="O282" s="313">
        <f t="shared" si="131"/>
        <v>0</v>
      </c>
      <c r="P282" s="313">
        <f t="shared" si="132"/>
        <v>0</v>
      </c>
      <c r="Q282" s="313">
        <f t="shared" si="136"/>
        <v>0</v>
      </c>
      <c r="R282" s="244"/>
      <c r="S282" s="303">
        <f>+'MEMORIAS DE CANTIDADES'!L2427</f>
        <v>1</v>
      </c>
      <c r="T282" s="304">
        <f t="shared" si="134"/>
        <v>3837755</v>
      </c>
      <c r="U282" s="501">
        <f t="shared" si="137"/>
        <v>3837755</v>
      </c>
    </row>
    <row r="283" spans="2:22" ht="30" customHeight="1" thickBot="1">
      <c r="B283" s="80"/>
      <c r="C283" s="103" t="s">
        <v>8</v>
      </c>
      <c r="D283" s="592"/>
      <c r="E283" s="592"/>
      <c r="F283" s="592"/>
      <c r="G283" s="593"/>
      <c r="H283" s="592"/>
      <c r="I283" s="507"/>
      <c r="J283" s="104"/>
      <c r="K283" s="306">
        <f>SUM(K277:K282)</f>
        <v>380590414.60000002</v>
      </c>
      <c r="L283" s="923"/>
      <c r="M283" s="319"/>
      <c r="N283" s="319"/>
      <c r="O283" s="308">
        <f t="shared" ref="O283:P283" si="138">SUM(O277:O282)</f>
        <v>92060955.599999994</v>
      </c>
      <c r="P283" s="308">
        <f t="shared" si="138"/>
        <v>18561840</v>
      </c>
      <c r="Q283" s="308">
        <f>SUM(Q277:Q282)</f>
        <v>73499115.599999994</v>
      </c>
      <c r="R283" s="244"/>
      <c r="S283" s="290"/>
      <c r="T283" s="289"/>
      <c r="U283" s="506">
        <f>SUM(U277:U282)</f>
        <v>454089530.19999999</v>
      </c>
      <c r="V283" s="112"/>
    </row>
    <row r="284" spans="2:22" ht="30" customHeight="1" thickBot="1">
      <c r="B284" s="80"/>
      <c r="C284" s="886" t="s">
        <v>277</v>
      </c>
      <c r="D284" s="887"/>
      <c r="E284" s="887"/>
      <c r="F284" s="887"/>
      <c r="G284" s="887"/>
      <c r="H284" s="887"/>
      <c r="I284" s="887"/>
      <c r="J284" s="887"/>
      <c r="K284" s="889"/>
      <c r="L284" s="888"/>
      <c r="M284" s="887"/>
      <c r="N284" s="887"/>
      <c r="O284" s="920"/>
      <c r="P284" s="920"/>
      <c r="Q284" s="920"/>
      <c r="R284" s="589"/>
      <c r="S284" s="589"/>
      <c r="T284" s="589"/>
      <c r="U284" s="500"/>
    </row>
    <row r="285" spans="2:22" ht="30" customHeight="1">
      <c r="B285" s="80"/>
      <c r="C285" s="84">
        <v>15.1</v>
      </c>
      <c r="D285" s="251"/>
      <c r="E285" s="251"/>
      <c r="F285" s="251"/>
      <c r="G285" s="252" t="s">
        <v>278</v>
      </c>
      <c r="H285" s="251" t="s">
        <v>25</v>
      </c>
      <c r="I285" s="249">
        <v>43.035000000000004</v>
      </c>
      <c r="J285" s="246">
        <v>83705</v>
      </c>
      <c r="K285" s="88">
        <f t="shared" ref="K285:K305" si="139">I285*J285</f>
        <v>3602244.6750000003</v>
      </c>
      <c r="L285" s="876"/>
      <c r="M285" s="508">
        <f t="shared" ref="M285:M305" si="140">+IF(I285&lt;S285,S285-I285,0)</f>
        <v>0</v>
      </c>
      <c r="N285" s="307">
        <f t="shared" ref="N285:N305" si="141">+IF(I285&gt;S285,-S285+I285,0)</f>
        <v>0</v>
      </c>
      <c r="O285" s="313">
        <f t="shared" ref="O285:O305" si="142">+M285*J285</f>
        <v>0</v>
      </c>
      <c r="P285" s="313">
        <f t="shared" ref="P285:P305" si="143">+N285*J285</f>
        <v>0</v>
      </c>
      <c r="Q285" s="313">
        <f t="shared" ref="Q285:Q286" si="144">+O285-P285</f>
        <v>0</v>
      </c>
      <c r="R285" s="244"/>
      <c r="S285" s="303">
        <f>+'MEMORIAS DE CANTIDADES'!L2439</f>
        <v>43.035000000000004</v>
      </c>
      <c r="T285" s="304">
        <f t="shared" ref="T285:T305" si="145">+J285</f>
        <v>83705</v>
      </c>
      <c r="U285" s="501">
        <f t="shared" ref="U285" si="146">+S285*T285</f>
        <v>3602244.6750000003</v>
      </c>
    </row>
    <row r="286" spans="2:22" ht="34.5" customHeight="1">
      <c r="B286" s="80"/>
      <c r="C286" s="84">
        <v>15.2</v>
      </c>
      <c r="D286" s="99"/>
      <c r="E286" s="99"/>
      <c r="F286" s="99"/>
      <c r="G286" s="98" t="s">
        <v>279</v>
      </c>
      <c r="H286" s="97" t="s">
        <v>25</v>
      </c>
      <c r="I286" s="87">
        <v>2482.6400000000003</v>
      </c>
      <c r="J286" s="88">
        <v>58639</v>
      </c>
      <c r="K286" s="88">
        <f t="shared" si="139"/>
        <v>145579526.96000001</v>
      </c>
      <c r="L286" s="876"/>
      <c r="M286" s="508">
        <f t="shared" si="140"/>
        <v>187.05999999999949</v>
      </c>
      <c r="N286" s="307">
        <f t="shared" si="141"/>
        <v>0</v>
      </c>
      <c r="O286" s="313">
        <f t="shared" si="142"/>
        <v>10969011.33999997</v>
      </c>
      <c r="P286" s="313">
        <f t="shared" si="143"/>
        <v>0</v>
      </c>
      <c r="Q286" s="313">
        <f t="shared" si="144"/>
        <v>10969011.33999997</v>
      </c>
      <c r="R286" s="244"/>
      <c r="S286" s="303">
        <f>+'MEMORIAS DE CANTIDADES'!L2453</f>
        <v>2669.7</v>
      </c>
      <c r="T286" s="304">
        <f t="shared" si="145"/>
        <v>58639</v>
      </c>
      <c r="U286" s="501">
        <f t="shared" ref="U286:U305" si="147">+S286*T286</f>
        <v>156548538.29999998</v>
      </c>
      <c r="V286" s="148"/>
    </row>
    <row r="287" spans="2:22" ht="30" customHeight="1">
      <c r="B287" s="80"/>
      <c r="C287" s="84">
        <v>15.3</v>
      </c>
      <c r="D287" s="97"/>
      <c r="E287" s="97"/>
      <c r="F287" s="97"/>
      <c r="G287" s="98" t="s">
        <v>86</v>
      </c>
      <c r="H287" s="97" t="s">
        <v>25</v>
      </c>
      <c r="I287" s="87">
        <v>1556.5800000000002</v>
      </c>
      <c r="J287" s="88">
        <v>108681</v>
      </c>
      <c r="K287" s="88">
        <f t="shared" si="139"/>
        <v>169170670.98000002</v>
      </c>
      <c r="L287" s="876"/>
      <c r="M287" s="508">
        <f>+IF(I287&lt;S287,S287-I287,0)</f>
        <v>6147.1600000000008</v>
      </c>
      <c r="N287" s="307">
        <f t="shared" si="141"/>
        <v>0</v>
      </c>
      <c r="O287" s="313">
        <f t="shared" si="142"/>
        <v>668079495.96000004</v>
      </c>
      <c r="P287" s="313">
        <f t="shared" si="143"/>
        <v>0</v>
      </c>
      <c r="Q287" s="313">
        <f t="shared" ref="Q287:Q305" si="148">+O287-P287</f>
        <v>668079495.96000004</v>
      </c>
      <c r="R287" s="244"/>
      <c r="S287" s="303">
        <f>+'MEMORIAS DE CANTIDADES'!L2466</f>
        <v>7703.7400000000007</v>
      </c>
      <c r="T287" s="304">
        <f t="shared" si="145"/>
        <v>108681</v>
      </c>
      <c r="U287" s="501">
        <f t="shared" si="147"/>
        <v>837250166.94000006</v>
      </c>
      <c r="V287" s="148"/>
    </row>
    <row r="288" spans="2:22" ht="30" customHeight="1">
      <c r="B288" s="80"/>
      <c r="C288" s="84">
        <v>15.4</v>
      </c>
      <c r="D288" s="95"/>
      <c r="E288" s="95"/>
      <c r="F288" s="95"/>
      <c r="G288" s="100" t="s">
        <v>280</v>
      </c>
      <c r="H288" s="95" t="s">
        <v>25</v>
      </c>
      <c r="I288" s="87">
        <v>287.60000000000002</v>
      </c>
      <c r="J288" s="88">
        <v>151344</v>
      </c>
      <c r="K288" s="88">
        <f t="shared" si="139"/>
        <v>43526534.400000006</v>
      </c>
      <c r="L288" s="876"/>
      <c r="M288" s="508">
        <f t="shared" si="140"/>
        <v>21.800000000000011</v>
      </c>
      <c r="N288" s="307">
        <f t="shared" si="141"/>
        <v>0</v>
      </c>
      <c r="O288" s="313">
        <f t="shared" si="142"/>
        <v>3299299.2000000016</v>
      </c>
      <c r="P288" s="313">
        <f t="shared" si="143"/>
        <v>0</v>
      </c>
      <c r="Q288" s="313">
        <f t="shared" si="148"/>
        <v>3299299.2000000016</v>
      </c>
      <c r="R288" s="244"/>
      <c r="S288" s="303">
        <f>+'MEMORIAS DE CANTIDADES'!L2479</f>
        <v>309.40000000000003</v>
      </c>
      <c r="T288" s="304">
        <f t="shared" si="145"/>
        <v>151344</v>
      </c>
      <c r="U288" s="501">
        <f t="shared" si="147"/>
        <v>46825833.600000001</v>
      </c>
      <c r="V288" s="148"/>
    </row>
    <row r="289" spans="2:22" ht="30" customHeight="1">
      <c r="B289" s="80"/>
      <c r="C289" s="84">
        <v>15.5</v>
      </c>
      <c r="D289" s="97"/>
      <c r="E289" s="97"/>
      <c r="F289" s="97"/>
      <c r="G289" s="98" t="s">
        <v>281</v>
      </c>
      <c r="H289" s="97" t="s">
        <v>25</v>
      </c>
      <c r="I289" s="87">
        <v>287.60000000000002</v>
      </c>
      <c r="J289" s="101">
        <v>887959</v>
      </c>
      <c r="K289" s="88">
        <f t="shared" si="139"/>
        <v>255377008.40000001</v>
      </c>
      <c r="L289" s="876"/>
      <c r="M289" s="508">
        <f t="shared" si="140"/>
        <v>21.800000000000011</v>
      </c>
      <c r="N289" s="307">
        <f t="shared" si="141"/>
        <v>0</v>
      </c>
      <c r="O289" s="313">
        <f t="shared" si="142"/>
        <v>19357506.20000001</v>
      </c>
      <c r="P289" s="313">
        <f t="shared" si="143"/>
        <v>0</v>
      </c>
      <c r="Q289" s="313">
        <f t="shared" si="148"/>
        <v>19357506.20000001</v>
      </c>
      <c r="R289" s="244"/>
      <c r="S289" s="303">
        <f>+'MEMORIAS DE CANTIDADES'!L2491</f>
        <v>309.40000000000003</v>
      </c>
      <c r="T289" s="304">
        <f t="shared" si="145"/>
        <v>887959</v>
      </c>
      <c r="U289" s="501">
        <f t="shared" si="147"/>
        <v>274734514.60000002</v>
      </c>
      <c r="V289" s="148"/>
    </row>
    <row r="290" spans="2:22" ht="30" customHeight="1">
      <c r="B290" s="80"/>
      <c r="C290" s="84">
        <v>15.6</v>
      </c>
      <c r="D290" s="95"/>
      <c r="E290" s="95"/>
      <c r="F290" s="95"/>
      <c r="G290" s="100" t="s">
        <v>282</v>
      </c>
      <c r="H290" s="95" t="s">
        <v>65</v>
      </c>
      <c r="I290" s="87">
        <v>743</v>
      </c>
      <c r="J290" s="101">
        <v>69352</v>
      </c>
      <c r="K290" s="88">
        <f t="shared" si="139"/>
        <v>51528536</v>
      </c>
      <c r="L290" s="876"/>
      <c r="M290" s="508">
        <f t="shared" si="140"/>
        <v>867</v>
      </c>
      <c r="N290" s="307">
        <f t="shared" si="141"/>
        <v>0</v>
      </c>
      <c r="O290" s="313">
        <f t="shared" si="142"/>
        <v>60128184</v>
      </c>
      <c r="P290" s="313">
        <f t="shared" si="143"/>
        <v>0</v>
      </c>
      <c r="Q290" s="313">
        <f t="shared" si="148"/>
        <v>60128184</v>
      </c>
      <c r="R290" s="244"/>
      <c r="S290" s="303">
        <f>+'MEMORIAS DE CANTIDADES'!L2503</f>
        <v>1610</v>
      </c>
      <c r="T290" s="304">
        <f t="shared" si="145"/>
        <v>69352</v>
      </c>
      <c r="U290" s="501">
        <f t="shared" si="147"/>
        <v>111656720</v>
      </c>
    </row>
    <row r="291" spans="2:22" ht="30" customHeight="1">
      <c r="B291" s="80"/>
      <c r="C291" s="84">
        <v>15.7</v>
      </c>
      <c r="D291" s="97"/>
      <c r="E291" s="85"/>
      <c r="F291" s="97"/>
      <c r="G291" s="98" t="s">
        <v>168</v>
      </c>
      <c r="H291" s="97" t="s">
        <v>52</v>
      </c>
      <c r="I291" s="87">
        <v>360</v>
      </c>
      <c r="J291" s="88">
        <v>105387</v>
      </c>
      <c r="K291" s="88">
        <f t="shared" si="139"/>
        <v>37939320</v>
      </c>
      <c r="L291" s="876"/>
      <c r="M291" s="508">
        <f t="shared" si="140"/>
        <v>0</v>
      </c>
      <c r="N291" s="307">
        <f t="shared" si="141"/>
        <v>360</v>
      </c>
      <c r="O291" s="313">
        <f t="shared" si="142"/>
        <v>0</v>
      </c>
      <c r="P291" s="313">
        <f t="shared" si="143"/>
        <v>37939320</v>
      </c>
      <c r="Q291" s="313">
        <f t="shared" si="148"/>
        <v>-37939320</v>
      </c>
      <c r="R291" s="244"/>
      <c r="S291" s="303">
        <f>+'MEMORIAS DE CANTIDADES'!L2518</f>
        <v>0</v>
      </c>
      <c r="T291" s="304">
        <f t="shared" si="145"/>
        <v>105387</v>
      </c>
      <c r="U291" s="501">
        <f t="shared" si="147"/>
        <v>0</v>
      </c>
    </row>
    <row r="292" spans="2:22" ht="30" customHeight="1">
      <c r="B292" s="80"/>
      <c r="C292" s="84">
        <v>15.8</v>
      </c>
      <c r="D292" s="97"/>
      <c r="E292" s="85"/>
      <c r="F292" s="97"/>
      <c r="G292" s="98" t="s">
        <v>283</v>
      </c>
      <c r="H292" s="97" t="s">
        <v>52</v>
      </c>
      <c r="I292" s="87">
        <v>4768.6000000000004</v>
      </c>
      <c r="J292" s="88">
        <v>131905</v>
      </c>
      <c r="K292" s="88">
        <f t="shared" si="139"/>
        <v>629002183</v>
      </c>
      <c r="L292" s="876"/>
      <c r="M292" s="508">
        <f t="shared" si="140"/>
        <v>847.14999999999964</v>
      </c>
      <c r="N292" s="307">
        <f t="shared" si="141"/>
        <v>0</v>
      </c>
      <c r="O292" s="313">
        <f t="shared" si="142"/>
        <v>111743320.74999996</v>
      </c>
      <c r="P292" s="313">
        <f t="shared" si="143"/>
        <v>0</v>
      </c>
      <c r="Q292" s="313">
        <f t="shared" si="148"/>
        <v>111743320.74999996</v>
      </c>
      <c r="R292" s="244"/>
      <c r="S292" s="303">
        <f>+'MEMORIAS DE CANTIDADES'!L2531</f>
        <v>5615.75</v>
      </c>
      <c r="T292" s="304">
        <f t="shared" si="145"/>
        <v>131905</v>
      </c>
      <c r="U292" s="501">
        <f t="shared" si="147"/>
        <v>740745503.75</v>
      </c>
      <c r="V292" s="418"/>
    </row>
    <row r="293" spans="2:22" ht="30" customHeight="1">
      <c r="B293" s="80"/>
      <c r="C293" s="84">
        <v>15.9</v>
      </c>
      <c r="D293" s="97"/>
      <c r="E293" s="85"/>
      <c r="F293" s="97"/>
      <c r="G293" s="98" t="s">
        <v>284</v>
      </c>
      <c r="H293" s="97" t="s">
        <v>52</v>
      </c>
      <c r="I293" s="87">
        <v>32</v>
      </c>
      <c r="J293" s="88">
        <v>118838</v>
      </c>
      <c r="K293" s="88">
        <f t="shared" si="139"/>
        <v>3802816</v>
      </c>
      <c r="L293" s="876"/>
      <c r="M293" s="508">
        <f t="shared" si="140"/>
        <v>711</v>
      </c>
      <c r="N293" s="307">
        <f t="shared" si="141"/>
        <v>0</v>
      </c>
      <c r="O293" s="313">
        <f t="shared" si="142"/>
        <v>84493818</v>
      </c>
      <c r="P293" s="313">
        <f t="shared" si="143"/>
        <v>0</v>
      </c>
      <c r="Q293" s="313">
        <f t="shared" si="148"/>
        <v>84493818</v>
      </c>
      <c r="R293" s="244"/>
      <c r="S293" s="303">
        <f>+'MEMORIAS DE CANTIDADES'!L2543</f>
        <v>743</v>
      </c>
      <c r="T293" s="304">
        <f t="shared" si="145"/>
        <v>118838</v>
      </c>
      <c r="U293" s="501">
        <f t="shared" si="147"/>
        <v>88296634</v>
      </c>
    </row>
    <row r="294" spans="2:22" ht="40.5" customHeight="1">
      <c r="B294" s="80"/>
      <c r="C294" s="436">
        <v>15.1</v>
      </c>
      <c r="D294" s="422"/>
      <c r="E294" s="423"/>
      <c r="F294" s="422"/>
      <c r="G294" s="198" t="s">
        <v>285</v>
      </c>
      <c r="H294" s="97" t="s">
        <v>52</v>
      </c>
      <c r="I294" s="87">
        <v>1850</v>
      </c>
      <c r="J294" s="88">
        <v>26182</v>
      </c>
      <c r="K294" s="88">
        <f t="shared" si="139"/>
        <v>48436700</v>
      </c>
      <c r="L294" s="876"/>
      <c r="M294" s="508">
        <f t="shared" si="140"/>
        <v>2759.5</v>
      </c>
      <c r="N294" s="307">
        <f t="shared" si="141"/>
        <v>0</v>
      </c>
      <c r="O294" s="313">
        <f t="shared" si="142"/>
        <v>72249229</v>
      </c>
      <c r="P294" s="313">
        <f t="shared" si="143"/>
        <v>0</v>
      </c>
      <c r="Q294" s="313">
        <f t="shared" si="148"/>
        <v>72249229</v>
      </c>
      <c r="R294" s="244"/>
      <c r="S294" s="303">
        <f>+'MEMORIAS DE CANTIDADES'!L2555</f>
        <v>4609.5</v>
      </c>
      <c r="T294" s="304">
        <f t="shared" si="145"/>
        <v>26182</v>
      </c>
      <c r="U294" s="501">
        <f t="shared" si="147"/>
        <v>120685929</v>
      </c>
      <c r="V294" s="148"/>
    </row>
    <row r="295" spans="2:22" ht="30" customHeight="1">
      <c r="B295" s="80"/>
      <c r="C295" s="90">
        <v>15.11</v>
      </c>
      <c r="D295" s="422"/>
      <c r="E295" s="422"/>
      <c r="F295" s="422"/>
      <c r="G295" s="198" t="s">
        <v>286</v>
      </c>
      <c r="H295" s="102" t="s">
        <v>202</v>
      </c>
      <c r="I295" s="87">
        <v>4000</v>
      </c>
      <c r="J295" s="88">
        <v>22534</v>
      </c>
      <c r="K295" s="88">
        <f t="shared" si="139"/>
        <v>90136000</v>
      </c>
      <c r="L295" s="876"/>
      <c r="M295" s="508">
        <f t="shared" si="140"/>
        <v>3450</v>
      </c>
      <c r="N295" s="307">
        <f t="shared" si="141"/>
        <v>0</v>
      </c>
      <c r="O295" s="313">
        <f t="shared" si="142"/>
        <v>77742300</v>
      </c>
      <c r="P295" s="313">
        <f t="shared" si="143"/>
        <v>0</v>
      </c>
      <c r="Q295" s="313">
        <f t="shared" si="148"/>
        <v>77742300</v>
      </c>
      <c r="R295" s="244"/>
      <c r="S295" s="303">
        <f>+'MEMORIAS DE CANTIDADES'!L2566</f>
        <v>7450</v>
      </c>
      <c r="T295" s="304">
        <f t="shared" si="145"/>
        <v>22534</v>
      </c>
      <c r="U295" s="501">
        <f t="shared" si="147"/>
        <v>167878300</v>
      </c>
    </row>
    <row r="296" spans="2:22" ht="30" customHeight="1">
      <c r="B296" s="80"/>
      <c r="C296" s="90">
        <v>15.12</v>
      </c>
      <c r="D296" s="97"/>
      <c r="E296" s="97"/>
      <c r="F296" s="97"/>
      <c r="G296" s="98" t="s">
        <v>287</v>
      </c>
      <c r="H296" s="102" t="s">
        <v>202</v>
      </c>
      <c r="I296" s="87">
        <v>80</v>
      </c>
      <c r="J296" s="88">
        <v>447964</v>
      </c>
      <c r="K296" s="88">
        <f t="shared" si="139"/>
        <v>35837120</v>
      </c>
      <c r="L296" s="876"/>
      <c r="M296" s="508">
        <f t="shared" si="140"/>
        <v>0</v>
      </c>
      <c r="N296" s="307">
        <f t="shared" si="141"/>
        <v>0</v>
      </c>
      <c r="O296" s="313">
        <f t="shared" si="142"/>
        <v>0</v>
      </c>
      <c r="P296" s="313">
        <f t="shared" si="143"/>
        <v>0</v>
      </c>
      <c r="Q296" s="313">
        <f t="shared" si="148"/>
        <v>0</v>
      </c>
      <c r="R296" s="244"/>
      <c r="S296" s="303">
        <f>+'MEMORIAS DE CANTIDADES'!L2577</f>
        <v>80</v>
      </c>
      <c r="T296" s="304">
        <f t="shared" si="145"/>
        <v>447964</v>
      </c>
      <c r="U296" s="501">
        <f t="shared" si="147"/>
        <v>35837120</v>
      </c>
    </row>
    <row r="297" spans="2:22" ht="30" customHeight="1">
      <c r="B297" s="80"/>
      <c r="C297" s="90">
        <v>15.13</v>
      </c>
      <c r="D297" s="97"/>
      <c r="E297" s="97"/>
      <c r="F297" s="97"/>
      <c r="G297" s="98" t="s">
        <v>288</v>
      </c>
      <c r="H297" s="102" t="s">
        <v>267</v>
      </c>
      <c r="I297" s="87">
        <v>64</v>
      </c>
      <c r="J297" s="88">
        <v>113133</v>
      </c>
      <c r="K297" s="88">
        <f t="shared" si="139"/>
        <v>7240512</v>
      </c>
      <c r="L297" s="876"/>
      <c r="M297" s="508">
        <f t="shared" si="140"/>
        <v>6</v>
      </c>
      <c r="N297" s="307">
        <f t="shared" si="141"/>
        <v>0</v>
      </c>
      <c r="O297" s="313">
        <f t="shared" si="142"/>
        <v>678798</v>
      </c>
      <c r="P297" s="313">
        <f t="shared" si="143"/>
        <v>0</v>
      </c>
      <c r="Q297" s="313">
        <f t="shared" si="148"/>
        <v>678798</v>
      </c>
      <c r="R297" s="244"/>
      <c r="S297" s="303">
        <f>+'MEMORIAS DE CANTIDADES'!L2588</f>
        <v>70</v>
      </c>
      <c r="T297" s="304">
        <f t="shared" si="145"/>
        <v>113133</v>
      </c>
      <c r="U297" s="501">
        <f t="shared" si="147"/>
        <v>7919310</v>
      </c>
    </row>
    <row r="298" spans="2:22" ht="30" customHeight="1">
      <c r="B298" s="80"/>
      <c r="C298" s="90">
        <v>15.14</v>
      </c>
      <c r="D298" s="97"/>
      <c r="E298" s="97"/>
      <c r="F298" s="97"/>
      <c r="G298" s="98" t="s">
        <v>289</v>
      </c>
      <c r="H298" s="102" t="s">
        <v>65</v>
      </c>
      <c r="I298" s="87">
        <v>335.79999999999995</v>
      </c>
      <c r="J298" s="88">
        <v>12873</v>
      </c>
      <c r="K298" s="88">
        <f t="shared" si="139"/>
        <v>4322753.3999999994</v>
      </c>
      <c r="L298" s="876"/>
      <c r="M298" s="508">
        <f t="shared" si="140"/>
        <v>0</v>
      </c>
      <c r="N298" s="307">
        <f t="shared" si="141"/>
        <v>0</v>
      </c>
      <c r="O298" s="313">
        <f t="shared" si="142"/>
        <v>0</v>
      </c>
      <c r="P298" s="313">
        <f t="shared" si="143"/>
        <v>0</v>
      </c>
      <c r="Q298" s="313">
        <f t="shared" si="148"/>
        <v>0</v>
      </c>
      <c r="R298" s="244"/>
      <c r="S298" s="303">
        <f>+'MEMORIAS DE CANTIDADES'!L2599</f>
        <v>335.79999999999995</v>
      </c>
      <c r="T298" s="304">
        <f t="shared" si="145"/>
        <v>12873</v>
      </c>
      <c r="U298" s="501">
        <f t="shared" si="147"/>
        <v>4322753.3999999994</v>
      </c>
    </row>
    <row r="299" spans="2:22" ht="30" customHeight="1">
      <c r="B299" s="80"/>
      <c r="C299" s="90">
        <v>15.15</v>
      </c>
      <c r="D299" s="97"/>
      <c r="E299" s="97"/>
      <c r="F299" s="97"/>
      <c r="G299" s="98" t="s">
        <v>290</v>
      </c>
      <c r="H299" s="102" t="s">
        <v>21</v>
      </c>
      <c r="I299" s="87">
        <v>46</v>
      </c>
      <c r="J299" s="88">
        <v>69384</v>
      </c>
      <c r="K299" s="88">
        <f t="shared" si="139"/>
        <v>3191664</v>
      </c>
      <c r="L299" s="876"/>
      <c r="M299" s="508">
        <f t="shared" si="140"/>
        <v>0</v>
      </c>
      <c r="N299" s="307">
        <f t="shared" si="141"/>
        <v>0</v>
      </c>
      <c r="O299" s="313">
        <f t="shared" si="142"/>
        <v>0</v>
      </c>
      <c r="P299" s="313">
        <f t="shared" si="143"/>
        <v>0</v>
      </c>
      <c r="Q299" s="313">
        <f t="shared" si="148"/>
        <v>0</v>
      </c>
      <c r="R299" s="244"/>
      <c r="S299" s="303">
        <f>+'MEMORIAS DE CANTIDADES'!L2610</f>
        <v>46</v>
      </c>
      <c r="T299" s="304">
        <f t="shared" si="145"/>
        <v>69384</v>
      </c>
      <c r="U299" s="501">
        <f t="shared" si="147"/>
        <v>3191664</v>
      </c>
    </row>
    <row r="300" spans="2:22" ht="30" customHeight="1">
      <c r="B300" s="80"/>
      <c r="C300" s="90">
        <v>15.16</v>
      </c>
      <c r="D300" s="97"/>
      <c r="E300" s="97"/>
      <c r="F300" s="97"/>
      <c r="G300" s="198" t="s">
        <v>291</v>
      </c>
      <c r="H300" s="102" t="s">
        <v>267</v>
      </c>
      <c r="I300" s="87">
        <v>5</v>
      </c>
      <c r="J300" s="88">
        <v>2515576</v>
      </c>
      <c r="K300" s="88">
        <f t="shared" si="139"/>
        <v>12577880</v>
      </c>
      <c r="L300" s="876"/>
      <c r="M300" s="508">
        <f t="shared" si="140"/>
        <v>20</v>
      </c>
      <c r="N300" s="307">
        <f t="shared" si="141"/>
        <v>0</v>
      </c>
      <c r="O300" s="313">
        <f t="shared" si="142"/>
        <v>50311520</v>
      </c>
      <c r="P300" s="313">
        <f t="shared" si="143"/>
        <v>0</v>
      </c>
      <c r="Q300" s="313">
        <f t="shared" si="148"/>
        <v>50311520</v>
      </c>
      <c r="R300" s="244"/>
      <c r="S300" s="303">
        <f>+'MEMORIAS DE CANTIDADES'!L2621</f>
        <v>25</v>
      </c>
      <c r="T300" s="304">
        <f t="shared" si="145"/>
        <v>2515576</v>
      </c>
      <c r="U300" s="501">
        <f t="shared" si="147"/>
        <v>62889400</v>
      </c>
      <c r="V300" s="151"/>
    </row>
    <row r="301" spans="2:22" ht="30" customHeight="1">
      <c r="B301" s="80"/>
      <c r="C301" s="90">
        <v>15.17</v>
      </c>
      <c r="D301" s="97"/>
      <c r="E301" s="97"/>
      <c r="F301" s="97"/>
      <c r="G301" s="198" t="s">
        <v>292</v>
      </c>
      <c r="H301" s="102" t="s">
        <v>267</v>
      </c>
      <c r="I301" s="113">
        <v>20</v>
      </c>
      <c r="J301" s="88">
        <v>2850138</v>
      </c>
      <c r="K301" s="88">
        <f t="shared" si="139"/>
        <v>57002760</v>
      </c>
      <c r="L301" s="876"/>
      <c r="M301" s="508">
        <f t="shared" si="140"/>
        <v>28</v>
      </c>
      <c r="N301" s="307">
        <f t="shared" si="141"/>
        <v>0</v>
      </c>
      <c r="O301" s="313">
        <f t="shared" si="142"/>
        <v>79803864</v>
      </c>
      <c r="P301" s="313">
        <f t="shared" si="143"/>
        <v>0</v>
      </c>
      <c r="Q301" s="313">
        <f t="shared" si="148"/>
        <v>79803864</v>
      </c>
      <c r="R301" s="244"/>
      <c r="S301" s="303">
        <f>+'MEMORIAS DE CANTIDADES'!L2631</f>
        <v>48</v>
      </c>
      <c r="T301" s="304">
        <f t="shared" si="145"/>
        <v>2850138</v>
      </c>
      <c r="U301" s="501">
        <f t="shared" si="147"/>
        <v>136806624</v>
      </c>
      <c r="V301" s="151"/>
    </row>
    <row r="302" spans="2:22" ht="48.75" customHeight="1">
      <c r="B302" s="80"/>
      <c r="C302" s="90">
        <v>15.18</v>
      </c>
      <c r="D302" s="97"/>
      <c r="E302" s="97"/>
      <c r="F302" s="97"/>
      <c r="G302" s="198" t="s">
        <v>293</v>
      </c>
      <c r="H302" s="102" t="s">
        <v>267</v>
      </c>
      <c r="I302" s="113">
        <v>6</v>
      </c>
      <c r="J302" s="88">
        <v>3373426</v>
      </c>
      <c r="K302" s="88">
        <f t="shared" si="139"/>
        <v>20240556</v>
      </c>
      <c r="L302" s="876"/>
      <c r="M302" s="508">
        <f t="shared" si="140"/>
        <v>26</v>
      </c>
      <c r="N302" s="307">
        <f t="shared" si="141"/>
        <v>0</v>
      </c>
      <c r="O302" s="313">
        <f t="shared" si="142"/>
        <v>87709076</v>
      </c>
      <c r="P302" s="313">
        <f t="shared" si="143"/>
        <v>0</v>
      </c>
      <c r="Q302" s="313">
        <f t="shared" si="148"/>
        <v>87709076</v>
      </c>
      <c r="R302" s="244"/>
      <c r="S302" s="303">
        <f>+'MEMORIAS DE CANTIDADES'!L2641</f>
        <v>32</v>
      </c>
      <c r="T302" s="304">
        <f t="shared" si="145"/>
        <v>3373426</v>
      </c>
      <c r="U302" s="501">
        <f t="shared" si="147"/>
        <v>107949632</v>
      </c>
      <c r="V302" s="148"/>
    </row>
    <row r="303" spans="2:22" ht="48.75" customHeight="1">
      <c r="B303" s="80"/>
      <c r="C303" s="90">
        <v>15.19</v>
      </c>
      <c r="D303" s="97"/>
      <c r="E303" s="97"/>
      <c r="F303" s="97"/>
      <c r="G303" s="198" t="s">
        <v>294</v>
      </c>
      <c r="H303" s="102" t="s">
        <v>267</v>
      </c>
      <c r="I303" s="113">
        <v>10</v>
      </c>
      <c r="J303" s="88">
        <v>1760668</v>
      </c>
      <c r="K303" s="88">
        <f t="shared" si="139"/>
        <v>17606680</v>
      </c>
      <c r="L303" s="876"/>
      <c r="M303" s="508">
        <f t="shared" si="140"/>
        <v>24</v>
      </c>
      <c r="N303" s="307">
        <f t="shared" si="141"/>
        <v>0</v>
      </c>
      <c r="O303" s="313">
        <f t="shared" si="142"/>
        <v>42256032</v>
      </c>
      <c r="P303" s="313">
        <f t="shared" si="143"/>
        <v>0</v>
      </c>
      <c r="Q303" s="313">
        <f t="shared" si="148"/>
        <v>42256032</v>
      </c>
      <c r="R303" s="244"/>
      <c r="S303" s="303">
        <f>+'MEMORIAS DE CANTIDADES'!L2651</f>
        <v>34</v>
      </c>
      <c r="T303" s="304">
        <f t="shared" si="145"/>
        <v>1760668</v>
      </c>
      <c r="U303" s="501">
        <f>+S303*T303</f>
        <v>59862712</v>
      </c>
      <c r="V303" s="148"/>
    </row>
    <row r="304" spans="2:22" ht="30" customHeight="1">
      <c r="B304" s="80"/>
      <c r="C304" s="143" t="s">
        <v>843</v>
      </c>
      <c r="D304" s="97"/>
      <c r="E304" s="97"/>
      <c r="F304" s="97"/>
      <c r="G304" s="98" t="s">
        <v>295</v>
      </c>
      <c r="H304" s="102" t="s">
        <v>267</v>
      </c>
      <c r="I304" s="87">
        <v>10</v>
      </c>
      <c r="J304" s="88">
        <v>1145918</v>
      </c>
      <c r="K304" s="88">
        <f t="shared" si="139"/>
        <v>11459180</v>
      </c>
      <c r="L304" s="876"/>
      <c r="M304" s="508">
        <f t="shared" si="140"/>
        <v>2</v>
      </c>
      <c r="N304" s="307">
        <f t="shared" si="141"/>
        <v>0</v>
      </c>
      <c r="O304" s="313">
        <f t="shared" si="142"/>
        <v>2291836</v>
      </c>
      <c r="P304" s="313">
        <f t="shared" si="143"/>
        <v>0</v>
      </c>
      <c r="Q304" s="313">
        <f t="shared" si="148"/>
        <v>2291836</v>
      </c>
      <c r="R304" s="244"/>
      <c r="S304" s="303">
        <f>+'MEMORIAS DE CANTIDADES'!L2661</f>
        <v>12</v>
      </c>
      <c r="T304" s="304">
        <f t="shared" si="145"/>
        <v>1145918</v>
      </c>
      <c r="U304" s="501">
        <f t="shared" si="147"/>
        <v>13751016</v>
      </c>
    </row>
    <row r="305" spans="2:23" ht="30" customHeight="1">
      <c r="B305" s="80"/>
      <c r="C305" s="90">
        <v>15.21</v>
      </c>
      <c r="D305" s="97"/>
      <c r="E305" s="97"/>
      <c r="F305" s="97"/>
      <c r="G305" s="98" t="s">
        <v>296</v>
      </c>
      <c r="H305" s="102" t="s">
        <v>267</v>
      </c>
      <c r="I305" s="87">
        <v>1</v>
      </c>
      <c r="J305" s="88">
        <v>77876516</v>
      </c>
      <c r="K305" s="88">
        <f t="shared" si="139"/>
        <v>77876516</v>
      </c>
      <c r="L305" s="876"/>
      <c r="M305" s="508">
        <f t="shared" si="140"/>
        <v>0</v>
      </c>
      <c r="N305" s="307">
        <f t="shared" si="141"/>
        <v>0</v>
      </c>
      <c r="O305" s="313">
        <f t="shared" si="142"/>
        <v>0</v>
      </c>
      <c r="P305" s="313">
        <f t="shared" si="143"/>
        <v>0</v>
      </c>
      <c r="Q305" s="313">
        <f t="shared" si="148"/>
        <v>0</v>
      </c>
      <c r="R305" s="244"/>
      <c r="S305" s="303">
        <f>+'MEMORIAS DE CANTIDADES'!L2671</f>
        <v>1</v>
      </c>
      <c r="T305" s="304">
        <f t="shared" si="145"/>
        <v>77876516</v>
      </c>
      <c r="U305" s="501">
        <f t="shared" si="147"/>
        <v>77876516</v>
      </c>
    </row>
    <row r="306" spans="2:23" ht="30" customHeight="1" thickBot="1">
      <c r="B306" s="80"/>
      <c r="C306" s="103" t="s">
        <v>8</v>
      </c>
      <c r="D306" s="592"/>
      <c r="E306" s="592"/>
      <c r="F306" s="592"/>
      <c r="G306" s="593"/>
      <c r="H306" s="592"/>
      <c r="I306" s="507"/>
      <c r="J306" s="104"/>
      <c r="K306" s="306">
        <f>SUM(K285:K305)</f>
        <v>1725457161.8150001</v>
      </c>
      <c r="L306" s="876"/>
      <c r="M306" s="319"/>
      <c r="N306" s="319"/>
      <c r="O306" s="308">
        <f>SUM(O285:O305)</f>
        <v>1371113290.45</v>
      </c>
      <c r="P306" s="308">
        <f>SUM(P285:P305)</f>
        <v>37939320</v>
      </c>
      <c r="Q306" s="308">
        <f>SUM(Q285:Q305)</f>
        <v>1333173970.45</v>
      </c>
      <c r="R306" s="244"/>
      <c r="S306" s="309"/>
      <c r="T306" s="309"/>
      <c r="U306" s="506">
        <f>SUM(U285:U305)</f>
        <v>3058631132.2650003</v>
      </c>
      <c r="V306" s="112"/>
    </row>
    <row r="307" spans="2:23" ht="30" customHeight="1" thickBot="1">
      <c r="B307" s="80"/>
      <c r="C307" s="886" t="s">
        <v>297</v>
      </c>
      <c r="D307" s="887"/>
      <c r="E307" s="887"/>
      <c r="F307" s="887"/>
      <c r="G307" s="887"/>
      <c r="H307" s="887"/>
      <c r="I307" s="887"/>
      <c r="J307" s="887"/>
      <c r="K307" s="920"/>
      <c r="L307" s="889"/>
      <c r="M307" s="887"/>
      <c r="N307" s="887"/>
      <c r="O307" s="920"/>
      <c r="P307" s="920"/>
      <c r="Q307" s="920"/>
      <c r="R307" s="589"/>
      <c r="S307" s="589"/>
      <c r="T307" s="589"/>
      <c r="U307" s="500"/>
    </row>
    <row r="308" spans="2:23" ht="30" customHeight="1">
      <c r="B308" s="80"/>
      <c r="C308" s="84">
        <v>16.100000000000001</v>
      </c>
      <c r="D308" s="251"/>
      <c r="E308" s="251"/>
      <c r="F308" s="251"/>
      <c r="G308" s="252" t="s">
        <v>298</v>
      </c>
      <c r="H308" s="251" t="s">
        <v>267</v>
      </c>
      <c r="I308" s="249">
        <v>29</v>
      </c>
      <c r="J308" s="246">
        <v>85044</v>
      </c>
      <c r="K308" s="140">
        <f>I308*J308</f>
        <v>2466276</v>
      </c>
      <c r="L308" s="876"/>
      <c r="M308" s="307">
        <f>+IF(I308&lt;S308,S308-I308,0)</f>
        <v>3</v>
      </c>
      <c r="N308" s="307">
        <f>+IF(I308&gt;S308,-S308+I308,0)</f>
        <v>0</v>
      </c>
      <c r="O308" s="313">
        <f>+M308*J308</f>
        <v>255132</v>
      </c>
      <c r="P308" s="313">
        <f>+N308*J308</f>
        <v>0</v>
      </c>
      <c r="Q308" s="313">
        <f t="shared" ref="Q308" si="149">+O308-P308</f>
        <v>255132</v>
      </c>
      <c r="R308" s="244"/>
      <c r="S308" s="301">
        <f>+'MEMORIAS DE CANTIDADES'!L2682</f>
        <v>32</v>
      </c>
      <c r="T308" s="302">
        <f>+J308</f>
        <v>85044</v>
      </c>
      <c r="U308" s="501">
        <f t="shared" ref="U308" si="150">+S308*T308</f>
        <v>2721408</v>
      </c>
    </row>
    <row r="309" spans="2:23" ht="30" customHeight="1">
      <c r="B309" s="80"/>
      <c r="C309" s="84">
        <v>16.2</v>
      </c>
      <c r="D309" s="97"/>
      <c r="E309" s="97"/>
      <c r="F309" s="97"/>
      <c r="G309" s="98" t="s">
        <v>299</v>
      </c>
      <c r="H309" s="97" t="s">
        <v>267</v>
      </c>
      <c r="I309" s="87">
        <v>90</v>
      </c>
      <c r="J309" s="88">
        <v>85044</v>
      </c>
      <c r="K309" s="140">
        <f>I309*J309</f>
        <v>7653960</v>
      </c>
      <c r="L309" s="876"/>
      <c r="M309" s="307">
        <f>+IF(I309&lt;S309,S309-I309,0)</f>
        <v>0</v>
      </c>
      <c r="N309" s="307">
        <f>+IF(I309&gt;S309,-S309+I309,0)</f>
        <v>30</v>
      </c>
      <c r="O309" s="313">
        <f>+M309*J309</f>
        <v>0</v>
      </c>
      <c r="P309" s="313">
        <f>+N309*J309</f>
        <v>2551320</v>
      </c>
      <c r="Q309" s="313">
        <f t="shared" ref="Q309" si="151">+O309-P309</f>
        <v>-2551320</v>
      </c>
      <c r="R309" s="244"/>
      <c r="S309" s="517">
        <f>+'MEMORIAS DE CANTIDADES'!L2695</f>
        <v>60</v>
      </c>
      <c r="T309" s="314">
        <f>+J309</f>
        <v>85044</v>
      </c>
      <c r="U309" s="501">
        <f t="shared" ref="U309" si="152">+S309*T309</f>
        <v>5102640</v>
      </c>
    </row>
    <row r="310" spans="2:23" ht="30" customHeight="1" thickBot="1">
      <c r="B310" s="80"/>
      <c r="C310" s="91" t="s">
        <v>8</v>
      </c>
      <c r="D310" s="107"/>
      <c r="E310" s="107"/>
      <c r="F310" s="107"/>
      <c r="G310" s="109"/>
      <c r="H310" s="108"/>
      <c r="I310" s="87"/>
      <c r="J310" s="93"/>
      <c r="K310" s="141">
        <f>SUM(K308:K309)</f>
        <v>10120236</v>
      </c>
      <c r="L310" s="876"/>
      <c r="M310" s="307"/>
      <c r="N310" s="307"/>
      <c r="O310" s="308">
        <f t="shared" ref="O310" si="153">SUM(O308:O309)</f>
        <v>255132</v>
      </c>
      <c r="P310" s="308">
        <f>SUM(P308:P309)</f>
        <v>2551320</v>
      </c>
      <c r="Q310" s="308">
        <f>SUM(Q308:Q309)</f>
        <v>-2296188</v>
      </c>
      <c r="R310" s="244"/>
      <c r="S310" s="515"/>
      <c r="T310" s="518"/>
      <c r="U310" s="506">
        <f>SUM(U308:U309)</f>
        <v>7824048</v>
      </c>
      <c r="V310" s="112"/>
    </row>
    <row r="311" spans="2:23" s="82" customFormat="1" ht="30" customHeight="1" thickBot="1">
      <c r="B311" s="83"/>
      <c r="C311" s="880" t="s">
        <v>9</v>
      </c>
      <c r="D311" s="881"/>
      <c r="E311" s="881"/>
      <c r="F311" s="881"/>
      <c r="G311" s="881"/>
      <c r="H311" s="881"/>
      <c r="I311" s="881"/>
      <c r="J311" s="882"/>
      <c r="K311" s="242">
        <f>K32+K39+K52+K70+K79+K95+K100+K167+K181+K192+K206+K271+K275+K283+K306+K310</f>
        <v>23579717472.769978</v>
      </c>
      <c r="L311" s="876"/>
      <c r="M311" s="415"/>
      <c r="N311" s="416"/>
      <c r="O311" s="242">
        <f>O32+O39+O52+O70+O79+O95+O100+O167+O181+O192+O206+O271+O275+O283+O306+O310</f>
        <v>6276978610.8952017</v>
      </c>
      <c r="P311" s="242">
        <f>P32+P39+P52+P70+P79+P95+P100+P167+P181+P192+P206+P271+P275+P283+P306+P310</f>
        <v>5894393998.1988411</v>
      </c>
      <c r="Q311" s="242">
        <f>Q32+Q39+Q52+Q70+Q79+Q95+Q100+Q167+Q181+Q192+Q206+Q271+Q275+Q283+Q306+Q310</f>
        <v>382584612.69636095</v>
      </c>
      <c r="R311" s="296"/>
      <c r="S311" s="296"/>
      <c r="T311" s="296"/>
      <c r="U311" s="519">
        <f>U32+U39+U52+U70+U79+U95+U100+U167+U181+U192+U206+U271+U275+U283+U306+U310</f>
        <v>23962302085.466343</v>
      </c>
      <c r="V311" s="408">
        <f>+U311-K311</f>
        <v>382584612.69636536</v>
      </c>
    </row>
    <row r="312" spans="2:23" s="82" customFormat="1" ht="15.75">
      <c r="B312" s="83"/>
      <c r="C312" s="596"/>
      <c r="D312" s="596"/>
      <c r="E312" s="596"/>
      <c r="F312" s="596"/>
      <c r="G312" s="596"/>
      <c r="H312" s="596"/>
      <c r="I312" s="596"/>
      <c r="J312" s="596"/>
      <c r="K312" s="597"/>
      <c r="L312" s="598"/>
      <c r="M312" s="243"/>
      <c r="N312" s="243"/>
      <c r="O312" s="243"/>
      <c r="P312" s="243"/>
      <c r="Q312" s="244"/>
      <c r="R312" s="244"/>
      <c r="S312" s="244"/>
      <c r="T312" s="244"/>
      <c r="U312" s="520"/>
      <c r="V312" s="145">
        <f>+V311/K311</f>
        <v>1.6225156774595656E-2</v>
      </c>
    </row>
    <row r="313" spans="2:23" s="82" customFormat="1" ht="15.75">
      <c r="B313" s="83"/>
      <c r="C313" s="596"/>
      <c r="D313" s="596"/>
      <c r="E313" s="596"/>
      <c r="F313" s="596"/>
      <c r="G313" s="596"/>
      <c r="H313" s="596"/>
      <c r="I313" s="596"/>
      <c r="J313" s="596"/>
      <c r="K313" s="597"/>
      <c r="L313" s="598"/>
      <c r="M313" s="243"/>
      <c r="N313" s="243"/>
      <c r="O313" s="243"/>
      <c r="P313" s="243"/>
      <c r="Q313" s="244"/>
      <c r="R313" s="244"/>
      <c r="S313" s="244"/>
      <c r="T313" s="244"/>
      <c r="U313" s="520"/>
    </row>
    <row r="314" spans="2:23" s="82" customFormat="1" ht="15.75">
      <c r="B314" s="83"/>
      <c r="C314" s="596"/>
      <c r="D314" s="596"/>
      <c r="E314" s="596"/>
      <c r="F314" s="596"/>
      <c r="G314" s="596"/>
      <c r="H314" s="596"/>
      <c r="I314" s="596"/>
      <c r="J314" s="596"/>
      <c r="K314" s="597"/>
      <c r="L314" s="598"/>
      <c r="M314" s="243"/>
      <c r="N314" s="243"/>
      <c r="O314" s="243"/>
      <c r="P314" s="243"/>
      <c r="Q314" s="244"/>
      <c r="R314" s="244"/>
      <c r="S314" s="244"/>
      <c r="T314" s="244"/>
      <c r="U314" s="520"/>
    </row>
    <row r="315" spans="2:23" s="82" customFormat="1" ht="23.25">
      <c r="B315" s="83"/>
      <c r="C315" s="913" t="s">
        <v>1051</v>
      </c>
      <c r="D315" s="913"/>
      <c r="E315" s="913"/>
      <c r="F315" s="913"/>
      <c r="G315" s="913"/>
      <c r="H315" s="913"/>
      <c r="I315" s="913"/>
      <c r="J315" s="913"/>
      <c r="K315" s="913"/>
      <c r="L315" s="913"/>
      <c r="M315" s="913"/>
      <c r="N315" s="913"/>
      <c r="O315" s="913"/>
      <c r="P315" s="913"/>
      <c r="Q315" s="913"/>
      <c r="R315" s="913"/>
      <c r="S315" s="913"/>
      <c r="T315" s="913"/>
      <c r="U315" s="914"/>
      <c r="W315" s="145"/>
    </row>
    <row r="316" spans="2:23" s="82" customFormat="1" ht="15.75">
      <c r="B316" s="83"/>
      <c r="C316" s="915" t="s">
        <v>925</v>
      </c>
      <c r="D316" s="916"/>
      <c r="E316" s="916"/>
      <c r="F316" s="916"/>
      <c r="G316" s="916"/>
      <c r="H316" s="916"/>
      <c r="I316" s="916"/>
      <c r="J316" s="916"/>
      <c r="K316" s="916"/>
      <c r="L316" s="389"/>
      <c r="M316" s="917" t="s">
        <v>913</v>
      </c>
      <c r="N316" s="917"/>
      <c r="O316" s="917"/>
      <c r="P316" s="917"/>
      <c r="Q316" s="917"/>
      <c r="R316" s="305"/>
      <c r="S316" s="917" t="s">
        <v>921</v>
      </c>
      <c r="T316" s="917"/>
      <c r="U316" s="918"/>
      <c r="W316" s="145"/>
    </row>
    <row r="317" spans="2:23" s="82" customFormat="1" ht="31.9" customHeight="1">
      <c r="B317" s="83"/>
      <c r="C317" s="386" t="s">
        <v>0</v>
      </c>
      <c r="D317" s="386" t="s">
        <v>1</v>
      </c>
      <c r="E317" s="890" t="s">
        <v>2</v>
      </c>
      <c r="F317" s="890"/>
      <c r="G317" s="298" t="s">
        <v>3</v>
      </c>
      <c r="H317" s="298" t="s">
        <v>4</v>
      </c>
      <c r="I317" s="298" t="s">
        <v>5</v>
      </c>
      <c r="J317" s="298" t="s">
        <v>922</v>
      </c>
      <c r="K317" s="298" t="s">
        <v>916</v>
      </c>
      <c r="L317" s="388"/>
      <c r="M317" s="298" t="s">
        <v>914</v>
      </c>
      <c r="N317" s="298" t="s">
        <v>915</v>
      </c>
      <c r="O317" s="298" t="s">
        <v>923</v>
      </c>
      <c r="P317" s="298" t="s">
        <v>924</v>
      </c>
      <c r="Q317" s="298" t="s">
        <v>916</v>
      </c>
      <c r="R317" s="305"/>
      <c r="S317" s="298" t="s">
        <v>5</v>
      </c>
      <c r="T317" s="298" t="s">
        <v>922</v>
      </c>
      <c r="U317" s="499" t="s">
        <v>916</v>
      </c>
      <c r="W317" s="145"/>
    </row>
    <row r="318" spans="2:23" s="82" customFormat="1" ht="26.45" customHeight="1">
      <c r="B318" s="83"/>
      <c r="C318" s="883" t="s">
        <v>985</v>
      </c>
      <c r="D318" s="884"/>
      <c r="E318" s="884"/>
      <c r="F318" s="884"/>
      <c r="G318" s="884"/>
      <c r="H318" s="884"/>
      <c r="I318" s="884"/>
      <c r="J318" s="884"/>
      <c r="K318" s="884"/>
      <c r="L318" s="884"/>
      <c r="M318" s="884"/>
      <c r="N318" s="884"/>
      <c r="O318" s="884"/>
      <c r="P318" s="884"/>
      <c r="Q318" s="885"/>
      <c r="R318" s="390"/>
      <c r="S318" s="390"/>
      <c r="T318" s="390"/>
      <c r="U318" s="521"/>
      <c r="W318" s="145"/>
    </row>
    <row r="319" spans="2:23" s="82" customFormat="1" ht="45">
      <c r="B319" s="83"/>
      <c r="C319" s="97">
        <v>1.1000000000000001</v>
      </c>
      <c r="D319" s="85"/>
      <c r="E319" s="85"/>
      <c r="F319" s="85"/>
      <c r="G319" s="98" t="s">
        <v>986</v>
      </c>
      <c r="H319" s="85" t="s">
        <v>23</v>
      </c>
      <c r="I319" s="303">
        <v>564</v>
      </c>
      <c r="J319" s="114">
        <v>384413.55</v>
      </c>
      <c r="K319" s="114">
        <f t="shared" ref="K319" si="154">I319*J319</f>
        <v>216809242.19999999</v>
      </c>
      <c r="L319" s="388"/>
      <c r="M319" s="307">
        <v>564</v>
      </c>
      <c r="N319" s="307">
        <v>0</v>
      </c>
      <c r="O319" s="313">
        <f t="shared" ref="O319:O320" si="155">+M319*J319</f>
        <v>216809242.19999999</v>
      </c>
      <c r="P319" s="313">
        <f t="shared" ref="P319:P320" si="156">+N319*J319</f>
        <v>0</v>
      </c>
      <c r="Q319" s="313">
        <f t="shared" ref="Q319:Q320" si="157">+O319-P319</f>
        <v>216809242.19999999</v>
      </c>
      <c r="R319" s="305"/>
      <c r="S319" s="303">
        <f>+I319</f>
        <v>564</v>
      </c>
      <c r="T319" s="404">
        <f t="shared" ref="T319:T321" si="158">+J319</f>
        <v>384413.55</v>
      </c>
      <c r="U319" s="501">
        <f>+S319*T319</f>
        <v>216809242.19999999</v>
      </c>
      <c r="W319" s="476"/>
    </row>
    <row r="320" spans="2:23" s="82" customFormat="1" ht="30">
      <c r="B320" s="83"/>
      <c r="C320" s="97">
        <v>1.2</v>
      </c>
      <c r="D320" s="387"/>
      <c r="E320" s="387"/>
      <c r="F320" s="387"/>
      <c r="G320" s="98" t="s">
        <v>987</v>
      </c>
      <c r="H320" s="85" t="s">
        <v>23</v>
      </c>
      <c r="I320" s="303">
        <f>170+231+100</f>
        <v>501</v>
      </c>
      <c r="J320" s="114">
        <v>38045.97</v>
      </c>
      <c r="K320" s="392">
        <f>I320*J320</f>
        <v>19061030.969999999</v>
      </c>
      <c r="L320" s="388"/>
      <c r="M320" s="307">
        <v>501</v>
      </c>
      <c r="N320" s="307"/>
      <c r="O320" s="313">
        <f t="shared" si="155"/>
        <v>19061030.969999999</v>
      </c>
      <c r="P320" s="313">
        <f t="shared" si="156"/>
        <v>0</v>
      </c>
      <c r="Q320" s="313">
        <f t="shared" si="157"/>
        <v>19061030.969999999</v>
      </c>
      <c r="R320" s="305"/>
      <c r="S320" s="303">
        <f t="shared" ref="S320:S321" si="159">+I320</f>
        <v>501</v>
      </c>
      <c r="T320" s="404">
        <f t="shared" si="158"/>
        <v>38045.97</v>
      </c>
      <c r="U320" s="501">
        <f>+S320*T320</f>
        <v>19061030.969999999</v>
      </c>
      <c r="W320" s="476"/>
    </row>
    <row r="321" spans="2:23" s="82" customFormat="1" ht="15.75">
      <c r="B321" s="83"/>
      <c r="C321" s="97">
        <v>1.3</v>
      </c>
      <c r="D321" s="387"/>
      <c r="E321" s="387"/>
      <c r="F321" s="387"/>
      <c r="G321" s="98" t="s">
        <v>988</v>
      </c>
      <c r="H321" s="102" t="s">
        <v>267</v>
      </c>
      <c r="I321" s="303">
        <v>7</v>
      </c>
      <c r="J321" s="114">
        <v>684098.61</v>
      </c>
      <c r="K321" s="392">
        <f>I321*J321</f>
        <v>4788690.2699999996</v>
      </c>
      <c r="L321" s="388"/>
      <c r="M321" s="307">
        <v>7</v>
      </c>
      <c r="N321" s="307"/>
      <c r="O321" s="313">
        <f t="shared" ref="O321" si="160">+M321*J321</f>
        <v>4788690.2699999996</v>
      </c>
      <c r="P321" s="313">
        <f t="shared" ref="P321:P322" si="161">+N321*J321</f>
        <v>0</v>
      </c>
      <c r="Q321" s="313">
        <f t="shared" ref="Q321:Q322" si="162">+O321-P321</f>
        <v>4788690.2699999996</v>
      </c>
      <c r="R321" s="305"/>
      <c r="S321" s="303">
        <f t="shared" si="159"/>
        <v>7</v>
      </c>
      <c r="T321" s="404">
        <f t="shared" si="158"/>
        <v>684098.61</v>
      </c>
      <c r="U321" s="501">
        <f>+S321*T321</f>
        <v>4788690.2699999996</v>
      </c>
      <c r="W321" s="476"/>
    </row>
    <row r="322" spans="2:23" s="82" customFormat="1" ht="68.45" customHeight="1">
      <c r="B322" s="83"/>
      <c r="C322" s="97">
        <v>1.4</v>
      </c>
      <c r="D322" s="387"/>
      <c r="E322" s="387"/>
      <c r="F322" s="387"/>
      <c r="G322" s="98" t="s">
        <v>1052</v>
      </c>
      <c r="H322" s="102" t="s">
        <v>21</v>
      </c>
      <c r="I322" s="303">
        <v>2875</v>
      </c>
      <c r="J322" s="114">
        <v>91413.207716197416</v>
      </c>
      <c r="K322" s="392">
        <f>I322*J322</f>
        <v>262812972.18406758</v>
      </c>
      <c r="L322" s="388"/>
      <c r="M322" s="307">
        <f t="shared" ref="M322" si="163">+I322</f>
        <v>2875</v>
      </c>
      <c r="N322" s="307">
        <f t="shared" ref="N322" si="164">+IF(I322&gt;S322,-S322+I322,0)</f>
        <v>0</v>
      </c>
      <c r="O322" s="313">
        <f>+M322*J322</f>
        <v>262812972.18406758</v>
      </c>
      <c r="P322" s="313">
        <f t="shared" si="161"/>
        <v>0</v>
      </c>
      <c r="Q322" s="313">
        <f t="shared" si="162"/>
        <v>262812972.18406758</v>
      </c>
      <c r="R322" s="305"/>
      <c r="S322" s="303">
        <f>+I322</f>
        <v>2875</v>
      </c>
      <c r="T322" s="409">
        <f>+J322</f>
        <v>91413.207716197416</v>
      </c>
      <c r="U322" s="501">
        <f>+S322*T322</f>
        <v>262812972.18406758</v>
      </c>
      <c r="W322" s="476"/>
    </row>
    <row r="323" spans="2:23" ht="15.75">
      <c r="B323" s="80"/>
      <c r="C323" s="868" t="s">
        <v>8</v>
      </c>
      <c r="D323" s="868"/>
      <c r="E323" s="868"/>
      <c r="F323" s="868"/>
      <c r="G323" s="98"/>
      <c r="H323" s="97"/>
      <c r="I323" s="87"/>
      <c r="J323" s="88"/>
      <c r="K323" s="306">
        <f>SUM(K319:K322)</f>
        <v>503471935.62406754</v>
      </c>
      <c r="L323" s="309"/>
      <c r="M323" s="307"/>
      <c r="N323" s="307"/>
      <c r="O323" s="308">
        <f>SUM(O319:O322)</f>
        <v>503471935.62406754</v>
      </c>
      <c r="P323" s="308">
        <f>SUM(P319:P321)</f>
        <v>0</v>
      </c>
      <c r="Q323" s="308">
        <f>SUM(Q319:Q322)</f>
        <v>503471935.62406754</v>
      </c>
      <c r="R323" s="305"/>
      <c r="S323" s="305"/>
      <c r="T323" s="305"/>
      <c r="U323" s="506">
        <f>SUM(U319:U322)</f>
        <v>503471935.62406754</v>
      </c>
      <c r="V323" s="82"/>
    </row>
    <row r="324" spans="2:23" s="82" customFormat="1" ht="29.45" customHeight="1">
      <c r="B324" s="83"/>
      <c r="C324" s="867" t="s">
        <v>43</v>
      </c>
      <c r="D324" s="867"/>
      <c r="E324" s="867"/>
      <c r="F324" s="867"/>
      <c r="G324" s="867"/>
      <c r="H324" s="867"/>
      <c r="I324" s="867"/>
      <c r="J324" s="867"/>
      <c r="K324" s="867"/>
      <c r="L324" s="867"/>
      <c r="M324" s="867"/>
      <c r="N324" s="867"/>
      <c r="O324" s="867"/>
      <c r="P324" s="867"/>
      <c r="Q324" s="867"/>
      <c r="R324" s="390"/>
      <c r="S324" s="390"/>
      <c r="T324" s="390"/>
      <c r="U324" s="521"/>
      <c r="W324" s="145"/>
    </row>
    <row r="325" spans="2:23" s="82" customFormat="1" ht="51.6" customHeight="1">
      <c r="B325" s="83"/>
      <c r="C325" s="97" t="s">
        <v>989</v>
      </c>
      <c r="D325" s="387"/>
      <c r="E325" s="387"/>
      <c r="F325" s="387"/>
      <c r="G325" s="98" t="s">
        <v>990</v>
      </c>
      <c r="H325" s="85" t="s">
        <v>25</v>
      </c>
      <c r="I325" s="303">
        <v>440.96620000000001</v>
      </c>
      <c r="J325" s="114">
        <f>1136435*1.29</f>
        <v>1466001.1500000001</v>
      </c>
      <c r="K325" s="392">
        <f>I325*J325</f>
        <v>646456956.31113005</v>
      </c>
      <c r="L325" s="388"/>
      <c r="M325" s="303">
        <v>440.96620000000001</v>
      </c>
      <c r="N325" s="388"/>
      <c r="O325" s="313">
        <f t="shared" ref="O325" si="165">+M325*J325</f>
        <v>646456956.31113005</v>
      </c>
      <c r="P325" s="313">
        <f t="shared" ref="P325" si="166">+N325*J325</f>
        <v>0</v>
      </c>
      <c r="Q325" s="313">
        <f t="shared" ref="Q325" si="167">+O325-P325</f>
        <v>646456956.31113005</v>
      </c>
      <c r="R325" s="388"/>
      <c r="S325" s="303">
        <f>+I325</f>
        <v>440.96620000000001</v>
      </c>
      <c r="T325" s="404">
        <f t="shared" ref="T325" si="168">+J325</f>
        <v>1466001.1500000001</v>
      </c>
      <c r="U325" s="501">
        <f>+S325*T325</f>
        <v>646456956.31113005</v>
      </c>
      <c r="W325" s="476"/>
    </row>
    <row r="326" spans="2:23" ht="15.75">
      <c r="B326" s="80"/>
      <c r="C326" s="868" t="s">
        <v>8</v>
      </c>
      <c r="D326" s="868"/>
      <c r="E326" s="868"/>
      <c r="F326" s="868"/>
      <c r="G326" s="98"/>
      <c r="H326" s="97"/>
      <c r="I326" s="87"/>
      <c r="J326" s="88"/>
      <c r="K326" s="306">
        <f>SUM(K325)</f>
        <v>646456956.31113005</v>
      </c>
      <c r="L326" s="309"/>
      <c r="M326" s="307"/>
      <c r="N326" s="307"/>
      <c r="O326" s="308">
        <f>SUM(O325)</f>
        <v>646456956.31113005</v>
      </c>
      <c r="P326" s="308">
        <f>SUM(P328)</f>
        <v>0</v>
      </c>
      <c r="Q326" s="308">
        <f>SUM(Q325)</f>
        <v>646456956.31113005</v>
      </c>
      <c r="R326" s="305"/>
      <c r="S326" s="305"/>
      <c r="T326" s="305"/>
      <c r="U326" s="506">
        <f>SUM(U325)</f>
        <v>646456956.31113005</v>
      </c>
      <c r="V326" s="82"/>
    </row>
    <row r="327" spans="2:23" s="82" customFormat="1" ht="28.15" customHeight="1">
      <c r="B327" s="83"/>
      <c r="C327" s="867" t="s">
        <v>56</v>
      </c>
      <c r="D327" s="867"/>
      <c r="E327" s="867"/>
      <c r="F327" s="867"/>
      <c r="G327" s="867"/>
      <c r="H327" s="867"/>
      <c r="I327" s="867"/>
      <c r="J327" s="867"/>
      <c r="K327" s="867"/>
      <c r="L327" s="867"/>
      <c r="M327" s="867"/>
      <c r="N327" s="867"/>
      <c r="O327" s="867"/>
      <c r="P327" s="867"/>
      <c r="Q327" s="867"/>
      <c r="R327" s="390"/>
      <c r="S327" s="390"/>
      <c r="T327" s="390"/>
      <c r="U327" s="521"/>
      <c r="W327" s="145"/>
    </row>
    <row r="328" spans="2:23" s="82" customFormat="1" ht="87" customHeight="1">
      <c r="B328" s="83"/>
      <c r="C328" s="97">
        <v>4.0999999999999996</v>
      </c>
      <c r="D328" s="387"/>
      <c r="E328" s="387"/>
      <c r="F328" s="387"/>
      <c r="G328" s="98" t="s">
        <v>991</v>
      </c>
      <c r="H328" s="85" t="s">
        <v>52</v>
      </c>
      <c r="I328" s="303">
        <v>5896.16</v>
      </c>
      <c r="J328" s="114">
        <v>150625.56</v>
      </c>
      <c r="K328" s="451">
        <f>I328*J328</f>
        <v>888112401.84959996</v>
      </c>
      <c r="L328" s="388"/>
      <c r="M328" s="307">
        <f>+I328</f>
        <v>5896.16</v>
      </c>
      <c r="N328" s="307">
        <f>+IF(I328&gt;S328,-S328+I328,0)</f>
        <v>0</v>
      </c>
      <c r="O328" s="313">
        <f t="shared" ref="O328" si="169">+M328*J328</f>
        <v>888112401.84959996</v>
      </c>
      <c r="P328" s="313">
        <f>+N328*J328</f>
        <v>0</v>
      </c>
      <c r="Q328" s="313">
        <f t="shared" ref="Q328" si="170">+O328-P328</f>
        <v>888112401.84959996</v>
      </c>
      <c r="R328" s="388"/>
      <c r="S328" s="303">
        <f>+I328</f>
        <v>5896.16</v>
      </c>
      <c r="T328" s="404">
        <f t="shared" ref="T328:T331" si="171">+J328</f>
        <v>150625.56</v>
      </c>
      <c r="U328" s="501">
        <f>+S328*T328</f>
        <v>888112401.84959996</v>
      </c>
      <c r="W328" s="476"/>
    </row>
    <row r="329" spans="2:23" s="82" customFormat="1" ht="99.6" customHeight="1">
      <c r="B329" s="83"/>
      <c r="C329" s="97">
        <v>4.2</v>
      </c>
      <c r="D329" s="387"/>
      <c r="E329" s="387"/>
      <c r="F329" s="387"/>
      <c r="G329" s="98" t="s">
        <v>1053</v>
      </c>
      <c r="H329" s="85" t="s">
        <v>1045</v>
      </c>
      <c r="I329" s="303">
        <v>552</v>
      </c>
      <c r="J329" s="114">
        <v>1068618.8954983323</v>
      </c>
      <c r="K329" s="451">
        <f>I329*J329</f>
        <v>589877630.31507945</v>
      </c>
      <c r="L329" s="388"/>
      <c r="M329" s="307">
        <f t="shared" ref="M329:M331" si="172">+I329</f>
        <v>552</v>
      </c>
      <c r="N329" s="307">
        <f t="shared" ref="N329:N331" si="173">+IF(I329&gt;S329,-S329+I329,0)</f>
        <v>0</v>
      </c>
      <c r="O329" s="313">
        <f t="shared" ref="O329:O331" si="174">+M329*J329</f>
        <v>589877630.31507945</v>
      </c>
      <c r="P329" s="313">
        <f t="shared" ref="P329:P331" si="175">+N329*J329</f>
        <v>0</v>
      </c>
      <c r="Q329" s="313">
        <f t="shared" ref="Q329:Q331" si="176">+O329-P329</f>
        <v>589877630.31507945</v>
      </c>
      <c r="R329" s="305"/>
      <c r="S329" s="303">
        <f t="shared" ref="S329:S331" si="177">+I329</f>
        <v>552</v>
      </c>
      <c r="T329" s="404">
        <f t="shared" si="171"/>
        <v>1068618.8954983323</v>
      </c>
      <c r="U329" s="501">
        <f t="shared" ref="U329" si="178">+S329*T329</f>
        <v>589877630.31507945</v>
      </c>
      <c r="W329" s="476"/>
    </row>
    <row r="330" spans="2:23" s="82" customFormat="1" ht="113.45" customHeight="1">
      <c r="B330" s="83"/>
      <c r="C330" s="97">
        <v>4.3</v>
      </c>
      <c r="D330" s="387"/>
      <c r="E330" s="387"/>
      <c r="F330" s="387"/>
      <c r="G330" s="98" t="s">
        <v>1151</v>
      </c>
      <c r="H330" s="102" t="s">
        <v>202</v>
      </c>
      <c r="I330" s="478">
        <v>4</v>
      </c>
      <c r="J330" s="304">
        <v>41926220</v>
      </c>
      <c r="K330" s="451">
        <f>I330*J330</f>
        <v>167704880</v>
      </c>
      <c r="L330" s="388"/>
      <c r="M330" s="307">
        <f t="shared" si="172"/>
        <v>4</v>
      </c>
      <c r="N330" s="307">
        <f t="shared" si="173"/>
        <v>0</v>
      </c>
      <c r="O330" s="313">
        <f t="shared" si="174"/>
        <v>167704880</v>
      </c>
      <c r="P330" s="313">
        <f t="shared" si="175"/>
        <v>0</v>
      </c>
      <c r="Q330" s="313">
        <f t="shared" si="176"/>
        <v>167704880</v>
      </c>
      <c r="R330" s="388"/>
      <c r="S330" s="303">
        <f t="shared" si="177"/>
        <v>4</v>
      </c>
      <c r="T330" s="404">
        <f t="shared" si="171"/>
        <v>41926220</v>
      </c>
      <c r="U330" s="501">
        <f>+S330*T330</f>
        <v>167704880</v>
      </c>
      <c r="W330" s="480"/>
    </row>
    <row r="331" spans="2:23" s="82" customFormat="1" ht="108.6" customHeight="1">
      <c r="B331" s="83"/>
      <c r="C331" s="97">
        <v>4.4000000000000004</v>
      </c>
      <c r="D331" s="387"/>
      <c r="E331" s="387"/>
      <c r="F331" s="387"/>
      <c r="G331" s="98" t="s">
        <v>1152</v>
      </c>
      <c r="H331" s="102" t="s">
        <v>202</v>
      </c>
      <c r="I331" s="599">
        <v>1</v>
      </c>
      <c r="J331" s="304">
        <v>14609628.6</v>
      </c>
      <c r="K331" s="451">
        <f>I331*J331</f>
        <v>14609628.6</v>
      </c>
      <c r="L331" s="388"/>
      <c r="M331" s="307">
        <f t="shared" si="172"/>
        <v>1</v>
      </c>
      <c r="N331" s="307">
        <f t="shared" si="173"/>
        <v>0</v>
      </c>
      <c r="O331" s="313">
        <f t="shared" si="174"/>
        <v>14609628.6</v>
      </c>
      <c r="P331" s="313">
        <f t="shared" si="175"/>
        <v>0</v>
      </c>
      <c r="Q331" s="313">
        <f t="shared" si="176"/>
        <v>14609628.6</v>
      </c>
      <c r="R331" s="388"/>
      <c r="S331" s="303">
        <f t="shared" si="177"/>
        <v>1</v>
      </c>
      <c r="T331" s="404">
        <f t="shared" si="171"/>
        <v>14609628.6</v>
      </c>
      <c r="U331" s="501">
        <f>+S331*T331</f>
        <v>14609628.6</v>
      </c>
      <c r="W331" s="480"/>
    </row>
    <row r="332" spans="2:23" ht="15.75">
      <c r="B332" s="80"/>
      <c r="C332" s="868" t="s">
        <v>8</v>
      </c>
      <c r="D332" s="868"/>
      <c r="E332" s="868"/>
      <c r="F332" s="868"/>
      <c r="G332" s="98"/>
      <c r="H332" s="97"/>
      <c r="I332" s="87"/>
      <c r="J332" s="88"/>
      <c r="K332" s="306">
        <f>SUM(K328:K331)</f>
        <v>1660304540.7646794</v>
      </c>
      <c r="L332" s="309"/>
      <c r="M332" s="307"/>
      <c r="N332" s="307"/>
      <c r="O332" s="308">
        <f>SUM(O328:O331)</f>
        <v>1660304540.7646794</v>
      </c>
      <c r="P332" s="308">
        <f>SUM(P328:P329)</f>
        <v>0</v>
      </c>
      <c r="Q332" s="308">
        <f>SUM(Q328:Q331)</f>
        <v>1660304540.7646794</v>
      </c>
      <c r="R332" s="305"/>
      <c r="S332" s="305"/>
      <c r="T332" s="305"/>
      <c r="U332" s="506">
        <f>SUM(U328:U331)</f>
        <v>1660304540.7646794</v>
      </c>
      <c r="V332" s="82"/>
    </row>
    <row r="333" spans="2:23" s="82" customFormat="1" ht="21.6" customHeight="1">
      <c r="B333" s="83"/>
      <c r="C333" s="867" t="s">
        <v>83</v>
      </c>
      <c r="D333" s="867"/>
      <c r="E333" s="867"/>
      <c r="F333" s="867"/>
      <c r="G333" s="867"/>
      <c r="H333" s="867"/>
      <c r="I333" s="867"/>
      <c r="J333" s="867"/>
      <c r="K333" s="867"/>
      <c r="L333" s="867"/>
      <c r="M333" s="867"/>
      <c r="N333" s="867"/>
      <c r="O333" s="867"/>
      <c r="P333" s="867"/>
      <c r="Q333" s="867"/>
      <c r="R333" s="390"/>
      <c r="S333" s="390"/>
      <c r="T333" s="390"/>
      <c r="U333" s="521"/>
      <c r="W333" s="145"/>
    </row>
    <row r="334" spans="2:23" s="82" customFormat="1" ht="42.6" customHeight="1">
      <c r="B334" s="83"/>
      <c r="C334" s="475" t="s">
        <v>992</v>
      </c>
      <c r="D334" s="387"/>
      <c r="E334" s="387"/>
      <c r="F334" s="387"/>
      <c r="G334" s="98" t="s">
        <v>1189</v>
      </c>
      <c r="H334" s="479" t="s">
        <v>65</v>
      </c>
      <c r="I334" s="303" t="s">
        <v>997</v>
      </c>
      <c r="J334" s="114">
        <v>789525.15</v>
      </c>
      <c r="K334" s="392">
        <f>I334*J334</f>
        <v>316599585.15000004</v>
      </c>
      <c r="L334" s="388"/>
      <c r="M334" s="307" t="str">
        <f>+I334</f>
        <v>401</v>
      </c>
      <c r="N334" s="307">
        <f>+IF(I334&gt;S334,-S334+I334,0)</f>
        <v>0</v>
      </c>
      <c r="O334" s="313">
        <f t="shared" ref="O334" si="179">+M334*J334</f>
        <v>316599585.15000004</v>
      </c>
      <c r="P334" s="313">
        <f>+N334*J334</f>
        <v>0</v>
      </c>
      <c r="Q334" s="313">
        <f t="shared" ref="Q334" si="180">+O334-P334</f>
        <v>316599585.15000004</v>
      </c>
      <c r="R334" s="388"/>
      <c r="S334" s="303" t="str">
        <f>+I334</f>
        <v>401</v>
      </c>
      <c r="T334" s="404">
        <f t="shared" ref="T334:T336" si="181">+J334</f>
        <v>789525.15</v>
      </c>
      <c r="U334" s="501">
        <f>+S334*T334</f>
        <v>316599585.15000004</v>
      </c>
      <c r="W334" s="476"/>
    </row>
    <row r="335" spans="2:23" s="82" customFormat="1" ht="54" customHeight="1">
      <c r="B335" s="83"/>
      <c r="C335" s="475" t="s">
        <v>993</v>
      </c>
      <c r="D335" s="387"/>
      <c r="E335" s="387"/>
      <c r="F335" s="387"/>
      <c r="G335" s="98" t="s">
        <v>994</v>
      </c>
      <c r="H335" s="85" t="s">
        <v>21</v>
      </c>
      <c r="I335" s="303">
        <f>(401+290.6+247+109)*2</f>
        <v>2095.1999999999998</v>
      </c>
      <c r="J335" s="114">
        <v>18541.169999999998</v>
      </c>
      <c r="K335" s="392">
        <f>I335*J335</f>
        <v>38847459.383999996</v>
      </c>
      <c r="L335" s="388"/>
      <c r="M335" s="307">
        <f t="shared" ref="M335:M336" si="182">+I335</f>
        <v>2095.1999999999998</v>
      </c>
      <c r="N335" s="307">
        <f t="shared" ref="N335:N336" si="183">+IF(I335&gt;S335,-S335+I335,0)</f>
        <v>0</v>
      </c>
      <c r="O335" s="313">
        <f t="shared" ref="O335:O336" si="184">+M335*J335</f>
        <v>38847459.383999996</v>
      </c>
      <c r="P335" s="313">
        <f t="shared" ref="P335:P336" si="185">+N335*J335</f>
        <v>0</v>
      </c>
      <c r="Q335" s="313">
        <f t="shared" ref="Q335:Q336" si="186">+O335-P335</f>
        <v>38847459.383999996</v>
      </c>
      <c r="R335" s="388"/>
      <c r="S335" s="303">
        <f t="shared" ref="S335:S336" si="187">+I335</f>
        <v>2095.1999999999998</v>
      </c>
      <c r="T335" s="404">
        <f t="shared" si="181"/>
        <v>18541.169999999998</v>
      </c>
      <c r="U335" s="501">
        <f>+S335*T335</f>
        <v>38847459.383999996</v>
      </c>
      <c r="W335" s="476"/>
    </row>
    <row r="336" spans="2:23" s="82" customFormat="1" ht="55.15" customHeight="1">
      <c r="B336" s="83"/>
      <c r="C336" s="475" t="s">
        <v>1014</v>
      </c>
      <c r="D336" s="387"/>
      <c r="E336" s="387"/>
      <c r="F336" s="387"/>
      <c r="G336" s="98" t="s">
        <v>990</v>
      </c>
      <c r="H336" s="85" t="s">
        <v>25</v>
      </c>
      <c r="I336" s="303">
        <v>177.2175</v>
      </c>
      <c r="J336" s="114">
        <f>+J325</f>
        <v>1466001.1500000001</v>
      </c>
      <c r="K336" s="392">
        <f>I336*J336</f>
        <v>259801058.80012503</v>
      </c>
      <c r="L336" s="388"/>
      <c r="M336" s="307">
        <f t="shared" si="182"/>
        <v>177.2175</v>
      </c>
      <c r="N336" s="307">
        <f t="shared" si="183"/>
        <v>0</v>
      </c>
      <c r="O336" s="313">
        <f t="shared" si="184"/>
        <v>259801058.80012503</v>
      </c>
      <c r="P336" s="313">
        <f t="shared" si="185"/>
        <v>0</v>
      </c>
      <c r="Q336" s="313">
        <f t="shared" si="186"/>
        <v>259801058.80012503</v>
      </c>
      <c r="R336" s="388"/>
      <c r="S336" s="303">
        <f t="shared" si="187"/>
        <v>177.2175</v>
      </c>
      <c r="T336" s="404">
        <f t="shared" si="181"/>
        <v>1466001.1500000001</v>
      </c>
      <c r="U336" s="501">
        <f>+S336*T336</f>
        <v>259801058.80012503</v>
      </c>
      <c r="W336" s="476"/>
    </row>
    <row r="337" spans="2:23" s="82" customFormat="1" ht="15.75">
      <c r="B337" s="83"/>
      <c r="C337" s="868" t="s">
        <v>8</v>
      </c>
      <c r="D337" s="868"/>
      <c r="E337" s="868"/>
      <c r="F337" s="868"/>
      <c r="G337" s="387"/>
      <c r="H337" s="387"/>
      <c r="I337" s="387"/>
      <c r="J337" s="387"/>
      <c r="K337" s="306">
        <f>SUM(K334:K336)</f>
        <v>615248103.33412504</v>
      </c>
      <c r="L337" s="388"/>
      <c r="M337" s="388"/>
      <c r="N337" s="388"/>
      <c r="O337" s="308">
        <f>SUM(O334:O336)</f>
        <v>615248103.33412504</v>
      </c>
      <c r="P337" s="308">
        <f>SUM(P334:P336)</f>
        <v>0</v>
      </c>
      <c r="Q337" s="308">
        <f>SUM(Q334:Q336)</f>
        <v>615248103.33412504</v>
      </c>
      <c r="R337" s="305"/>
      <c r="S337" s="305"/>
      <c r="T337" s="305"/>
      <c r="U337" s="506">
        <f>SUM(U334:U336)</f>
        <v>615248103.33412504</v>
      </c>
      <c r="W337" s="145"/>
    </row>
    <row r="338" spans="2:23" s="82" customFormat="1" ht="36" customHeight="1" thickBot="1">
      <c r="B338" s="83"/>
      <c r="C338" s="886" t="s">
        <v>99</v>
      </c>
      <c r="D338" s="887"/>
      <c r="E338" s="887"/>
      <c r="F338" s="887"/>
      <c r="G338" s="887"/>
      <c r="H338" s="887"/>
      <c r="I338" s="887"/>
      <c r="J338" s="887"/>
      <c r="K338" s="888"/>
      <c r="L338" s="889"/>
      <c r="M338" s="889"/>
      <c r="N338" s="889"/>
      <c r="O338" s="889"/>
      <c r="P338" s="889"/>
      <c r="Q338" s="889"/>
      <c r="R338" s="390"/>
      <c r="S338" s="390"/>
      <c r="T338" s="390"/>
      <c r="U338" s="521"/>
      <c r="W338" s="145"/>
    </row>
    <row r="339" spans="2:23" s="82" customFormat="1" ht="54" customHeight="1">
      <c r="B339" s="83"/>
      <c r="C339" s="97">
        <v>8.1</v>
      </c>
      <c r="D339" s="387"/>
      <c r="E339" s="387"/>
      <c r="F339" s="387"/>
      <c r="G339" s="98" t="s">
        <v>1049</v>
      </c>
      <c r="H339" s="85" t="s">
        <v>4</v>
      </c>
      <c r="I339" s="303">
        <v>1</v>
      </c>
      <c r="J339" s="114">
        <v>164770560</v>
      </c>
      <c r="K339" s="392">
        <f>I339*J339</f>
        <v>164770560</v>
      </c>
      <c r="L339" s="388"/>
      <c r="M339" s="307">
        <f>+I339</f>
        <v>1</v>
      </c>
      <c r="N339" s="307">
        <f>+IF(I339&gt;S339,-S339+I339,0)</f>
        <v>0</v>
      </c>
      <c r="O339" s="313">
        <f t="shared" ref="O339:O340" si="188">+M339*J339</f>
        <v>164770560</v>
      </c>
      <c r="P339" s="313">
        <f>+N339*J339</f>
        <v>0</v>
      </c>
      <c r="Q339" s="313">
        <f t="shared" ref="Q339:Q340" si="189">+O339-P339</f>
        <v>164770560</v>
      </c>
      <c r="R339" s="388"/>
      <c r="S339" s="303">
        <f>+I339</f>
        <v>1</v>
      </c>
      <c r="T339" s="404">
        <f t="shared" ref="T339:T340" si="190">+J339</f>
        <v>164770560</v>
      </c>
      <c r="U339" s="501">
        <f>+S339*T339</f>
        <v>164770560</v>
      </c>
      <c r="W339" s="476"/>
    </row>
    <row r="340" spans="2:23" s="82" customFormat="1" ht="54" customHeight="1">
      <c r="B340" s="83"/>
      <c r="C340" s="106">
        <v>8.1999999999999993</v>
      </c>
      <c r="D340" s="97"/>
      <c r="E340" s="97"/>
      <c r="F340" s="97"/>
      <c r="G340" s="98" t="s">
        <v>1157</v>
      </c>
      <c r="H340" s="97" t="s">
        <v>29</v>
      </c>
      <c r="I340" s="113">
        <v>1</v>
      </c>
      <c r="J340" s="114">
        <v>53825115.663270004</v>
      </c>
      <c r="K340" s="253">
        <f t="shared" ref="K340" si="191">I340*J340</f>
        <v>53825115.663270004</v>
      </c>
      <c r="L340" s="315"/>
      <c r="M340" s="307">
        <f>+I340</f>
        <v>1</v>
      </c>
      <c r="N340" s="307">
        <f t="shared" ref="N340" si="192">+IF(I340&gt;S340,-S340+I340,0)</f>
        <v>0</v>
      </c>
      <c r="O340" s="313">
        <f t="shared" si="188"/>
        <v>53825115.663270004</v>
      </c>
      <c r="P340" s="313">
        <f t="shared" ref="P340" si="193">+N340*J340</f>
        <v>0</v>
      </c>
      <c r="Q340" s="313">
        <f t="shared" si="189"/>
        <v>53825115.663270004</v>
      </c>
      <c r="R340" s="244"/>
      <c r="S340" s="303">
        <f>+I340</f>
        <v>1</v>
      </c>
      <c r="T340" s="304">
        <f t="shared" si="190"/>
        <v>53825115.663270004</v>
      </c>
      <c r="U340" s="501">
        <f t="shared" ref="U340" si="194">+S340*T340</f>
        <v>53825115.663270004</v>
      </c>
      <c r="W340" s="476"/>
    </row>
    <row r="341" spans="2:23" s="82" customFormat="1" ht="15.75">
      <c r="B341" s="83"/>
      <c r="C341" s="868" t="s">
        <v>8</v>
      </c>
      <c r="D341" s="868"/>
      <c r="E341" s="868"/>
      <c r="F341" s="868"/>
      <c r="G341" s="98"/>
      <c r="H341" s="97"/>
      <c r="I341" s="87"/>
      <c r="J341" s="88"/>
      <c r="K341" s="306">
        <f>SUM(K339:K340)</f>
        <v>218595675.66327</v>
      </c>
      <c r="L341" s="309"/>
      <c r="M341" s="307"/>
      <c r="N341" s="307"/>
      <c r="O341" s="308">
        <f>SUM(O339:O340)</f>
        <v>218595675.66327</v>
      </c>
      <c r="P341" s="308">
        <f>SUM(P339)</f>
        <v>0</v>
      </c>
      <c r="Q341" s="308">
        <f>SUM(Q339:Q340)</f>
        <v>218595675.66327</v>
      </c>
      <c r="R341" s="305"/>
      <c r="S341" s="305"/>
      <c r="T341" s="305"/>
      <c r="U341" s="506">
        <f>SUM(U339:U340)</f>
        <v>218595675.66327</v>
      </c>
      <c r="W341" s="145"/>
    </row>
    <row r="342" spans="2:23" ht="30" customHeight="1" thickBot="1">
      <c r="B342" s="80"/>
      <c r="C342" s="886" t="s">
        <v>178</v>
      </c>
      <c r="D342" s="887"/>
      <c r="E342" s="887"/>
      <c r="F342" s="887"/>
      <c r="G342" s="887"/>
      <c r="H342" s="887"/>
      <c r="I342" s="887"/>
      <c r="J342" s="887"/>
      <c r="K342" s="887"/>
      <c r="L342" s="889"/>
      <c r="M342" s="887"/>
      <c r="N342" s="887"/>
      <c r="O342" s="887"/>
      <c r="P342" s="887"/>
      <c r="Q342" s="887"/>
      <c r="R342" s="589"/>
      <c r="S342" s="589"/>
      <c r="T342" s="589"/>
      <c r="U342" s="500"/>
      <c r="V342" s="82"/>
    </row>
    <row r="343" spans="2:23" ht="48.6" customHeight="1" thickBot="1">
      <c r="B343" s="80"/>
      <c r="C343" s="106">
        <v>10.1</v>
      </c>
      <c r="D343" s="97"/>
      <c r="E343" s="85"/>
      <c r="F343" s="97"/>
      <c r="G343" s="98" t="s">
        <v>1150</v>
      </c>
      <c r="H343" s="97" t="s">
        <v>21</v>
      </c>
      <c r="I343" s="113">
        <f>+'MEMORIAS DE CANTIDADES'!L2190</f>
        <v>244.8</v>
      </c>
      <c r="J343" s="114">
        <v>1216504.6299999999</v>
      </c>
      <c r="K343" s="253">
        <f t="shared" ref="K343:K345" si="195">I343*J343</f>
        <v>297800333.42399997</v>
      </c>
      <c r="L343" s="315"/>
      <c r="M343" s="307">
        <f>+I343</f>
        <v>244.8</v>
      </c>
      <c r="N343" s="307">
        <f>+IF(I343&gt;S343,-S343+I343,0)</f>
        <v>0</v>
      </c>
      <c r="O343" s="313">
        <f t="shared" ref="O343" si="196">+M343*J343</f>
        <v>297800333.42399997</v>
      </c>
      <c r="P343" s="313">
        <f>+N343*J343</f>
        <v>0</v>
      </c>
      <c r="Q343" s="313">
        <f t="shared" ref="Q343" si="197">+O343-P343</f>
        <v>297800333.42399997</v>
      </c>
      <c r="R343" s="244"/>
      <c r="S343" s="303">
        <f>+I343</f>
        <v>244.8</v>
      </c>
      <c r="T343" s="404">
        <f t="shared" ref="T343:T345" si="198">+J343</f>
        <v>1216504.6299999999</v>
      </c>
      <c r="U343" s="501">
        <f t="shared" ref="U343:U345" si="199">+S343*T343</f>
        <v>297800333.42399997</v>
      </c>
      <c r="V343" s="82"/>
    </row>
    <row r="344" spans="2:23" ht="45" customHeight="1" thickBot="1">
      <c r="B344" s="80"/>
      <c r="C344" s="106">
        <v>10.199999999999999</v>
      </c>
      <c r="D344" s="97"/>
      <c r="E344" s="85"/>
      <c r="F344" s="97"/>
      <c r="G344" s="98" t="s">
        <v>1192</v>
      </c>
      <c r="H344" s="97" t="s">
        <v>29</v>
      </c>
      <c r="I344" s="113">
        <f>+'MEMORIAS DE CANTIDADES'!L2201</f>
        <v>68</v>
      </c>
      <c r="J344" s="114">
        <v>1515120.73</v>
      </c>
      <c r="K344" s="253">
        <f t="shared" si="195"/>
        <v>103028209.64</v>
      </c>
      <c r="L344" s="315"/>
      <c r="M344" s="307">
        <f t="shared" ref="M344:M345" si="200">+I344</f>
        <v>68</v>
      </c>
      <c r="N344" s="307">
        <f t="shared" ref="N344:N345" si="201">+IF(I344&gt;S344,-S344+I344,0)</f>
        <v>0</v>
      </c>
      <c r="O344" s="313">
        <f t="shared" ref="O344:O345" si="202">+M344*J344</f>
        <v>103028209.64</v>
      </c>
      <c r="P344" s="313">
        <f t="shared" ref="P344:P345" si="203">+N344*J344</f>
        <v>0</v>
      </c>
      <c r="Q344" s="313">
        <f t="shared" ref="Q344:Q345" si="204">+O344-P344</f>
        <v>103028209.64</v>
      </c>
      <c r="R344" s="244"/>
      <c r="S344" s="303">
        <f t="shared" ref="S344:S345" si="205">+I344</f>
        <v>68</v>
      </c>
      <c r="T344" s="404">
        <f t="shared" si="198"/>
        <v>1515120.73</v>
      </c>
      <c r="U344" s="501">
        <f t="shared" si="199"/>
        <v>103028209.64</v>
      </c>
      <c r="V344" s="82"/>
    </row>
    <row r="345" spans="2:23" ht="38.450000000000003" customHeight="1">
      <c r="B345" s="80"/>
      <c r="C345" s="106">
        <v>10.3</v>
      </c>
      <c r="D345" s="97"/>
      <c r="E345" s="85"/>
      <c r="F345" s="97"/>
      <c r="G345" s="98" t="s">
        <v>1191</v>
      </c>
      <c r="H345" s="97" t="s">
        <v>29</v>
      </c>
      <c r="I345" s="113">
        <f>+'MEMORIAS DE CANTIDADES'!L2213</f>
        <v>24</v>
      </c>
      <c r="J345" s="114">
        <v>990627.41</v>
      </c>
      <c r="K345" s="253">
        <f t="shared" si="195"/>
        <v>23775057.84</v>
      </c>
      <c r="L345" s="315"/>
      <c r="M345" s="307">
        <f t="shared" si="200"/>
        <v>24</v>
      </c>
      <c r="N345" s="307">
        <f t="shared" si="201"/>
        <v>0</v>
      </c>
      <c r="O345" s="313">
        <f t="shared" si="202"/>
        <v>23775057.84</v>
      </c>
      <c r="P345" s="313">
        <f t="shared" si="203"/>
        <v>0</v>
      </c>
      <c r="Q345" s="313">
        <f t="shared" si="204"/>
        <v>23775057.84</v>
      </c>
      <c r="R345" s="244"/>
      <c r="S345" s="303">
        <f t="shared" si="205"/>
        <v>24</v>
      </c>
      <c r="T345" s="404">
        <f t="shared" si="198"/>
        <v>990627.41</v>
      </c>
      <c r="U345" s="501">
        <f t="shared" si="199"/>
        <v>23775057.84</v>
      </c>
      <c r="V345" s="82"/>
    </row>
    <row r="346" spans="2:23" s="82" customFormat="1" ht="15.75">
      <c r="B346" s="83"/>
      <c r="C346" s="868" t="s">
        <v>8</v>
      </c>
      <c r="D346" s="868"/>
      <c r="E346" s="868"/>
      <c r="F346" s="868"/>
      <c r="G346" s="98"/>
      <c r="H346" s="97"/>
      <c r="I346" s="87"/>
      <c r="J346" s="88"/>
      <c r="K346" s="306">
        <f>SUM(K343:K345)</f>
        <v>424603600.90399992</v>
      </c>
      <c r="L346" s="309"/>
      <c r="M346" s="307"/>
      <c r="N346" s="307"/>
      <c r="O346" s="308">
        <f>SUM(O343:O345)</f>
        <v>424603600.90399992</v>
      </c>
      <c r="P346" s="308">
        <f>SUM(P343:P345)</f>
        <v>0</v>
      </c>
      <c r="Q346" s="308">
        <f>SUM(Q343:Q345)</f>
        <v>424603600.90399992</v>
      </c>
      <c r="R346" s="305"/>
      <c r="S346" s="305"/>
      <c r="T346" s="309"/>
      <c r="U346" s="506">
        <f>SUM(U343:U345)</f>
        <v>424603600.90399992</v>
      </c>
      <c r="W346" s="145"/>
    </row>
    <row r="347" spans="2:23" ht="30" customHeight="1">
      <c r="B347" s="80"/>
      <c r="C347" s="867" t="s">
        <v>200</v>
      </c>
      <c r="D347" s="867"/>
      <c r="E347" s="867"/>
      <c r="F347" s="867"/>
      <c r="G347" s="867"/>
      <c r="H347" s="867"/>
      <c r="I347" s="867"/>
      <c r="J347" s="867"/>
      <c r="K347" s="867"/>
      <c r="L347" s="867"/>
      <c r="M347" s="867"/>
      <c r="N347" s="867"/>
      <c r="O347" s="867"/>
      <c r="P347" s="867"/>
      <c r="Q347" s="867"/>
      <c r="R347" s="390"/>
      <c r="S347" s="390"/>
      <c r="T347" s="390"/>
      <c r="U347" s="521"/>
      <c r="V347" s="82"/>
    </row>
    <row r="348" spans="2:23" ht="91.15" customHeight="1">
      <c r="B348" s="80"/>
      <c r="C348" s="472">
        <v>12.1</v>
      </c>
      <c r="D348" s="473"/>
      <c r="E348" s="473"/>
      <c r="F348" s="473"/>
      <c r="G348" s="98" t="s">
        <v>842</v>
      </c>
      <c r="H348" s="102" t="s">
        <v>202</v>
      </c>
      <c r="I348" s="474">
        <v>10</v>
      </c>
      <c r="J348" s="114">
        <v>12374286.858070038</v>
      </c>
      <c r="K348" s="392">
        <f t="shared" ref="K348:K353" si="206">I348*J348</f>
        <v>123742868.58070038</v>
      </c>
      <c r="L348" s="388"/>
      <c r="M348" s="307">
        <f>+I348</f>
        <v>10</v>
      </c>
      <c r="N348" s="307">
        <f>+IF(I348&gt;S348,-S348+I348,0)</f>
        <v>0</v>
      </c>
      <c r="O348" s="313">
        <f t="shared" ref="O348" si="207">+M348*J348</f>
        <v>123742868.58070038</v>
      </c>
      <c r="P348" s="313">
        <f>+N348*J348</f>
        <v>0</v>
      </c>
      <c r="Q348" s="313">
        <f t="shared" ref="Q348" si="208">+O348-P348</f>
        <v>123742868.58070038</v>
      </c>
      <c r="R348" s="388"/>
      <c r="S348" s="303">
        <f>+I348</f>
        <v>10</v>
      </c>
      <c r="T348" s="404">
        <f t="shared" ref="T348:T354" si="209">+J348</f>
        <v>12374286.858070038</v>
      </c>
      <c r="U348" s="501">
        <f t="shared" ref="U348:U353" si="210">+S348*T348</f>
        <v>123742868.58070038</v>
      </c>
      <c r="V348" s="82"/>
    </row>
    <row r="349" spans="2:23" ht="99.6" customHeight="1">
      <c r="B349" s="80"/>
      <c r="C349" s="472">
        <f t="shared" ref="C349:C356" si="211">+C348+0.1</f>
        <v>12.2</v>
      </c>
      <c r="D349" s="473"/>
      <c r="E349" s="473"/>
      <c r="F349" s="473"/>
      <c r="G349" s="98" t="s">
        <v>1018</v>
      </c>
      <c r="H349" s="102" t="s">
        <v>202</v>
      </c>
      <c r="I349" s="861">
        <v>45</v>
      </c>
      <c r="J349" s="114">
        <v>4634728.2093296526</v>
      </c>
      <c r="K349" s="392">
        <f t="shared" si="206"/>
        <v>208562769.41983438</v>
      </c>
      <c r="L349" s="388"/>
      <c r="M349" s="307">
        <f t="shared" ref="M349:M354" si="212">+I349</f>
        <v>45</v>
      </c>
      <c r="N349" s="307">
        <f t="shared" ref="N349:N354" si="213">+IF(I349&gt;S349,-S349+I349,0)</f>
        <v>0</v>
      </c>
      <c r="O349" s="313">
        <f t="shared" ref="O349:O353" si="214">+M349*J349</f>
        <v>208562769.41983438</v>
      </c>
      <c r="P349" s="313">
        <f t="shared" ref="P349:P354" si="215">+N349*J349</f>
        <v>0</v>
      </c>
      <c r="Q349" s="313">
        <f t="shared" ref="Q349:Q354" si="216">+O349-P349</f>
        <v>208562769.41983438</v>
      </c>
      <c r="R349" s="388"/>
      <c r="S349" s="303">
        <f t="shared" ref="S349:S354" si="217">+I349</f>
        <v>45</v>
      </c>
      <c r="T349" s="404">
        <f t="shared" si="209"/>
        <v>4634728.2093296526</v>
      </c>
      <c r="U349" s="501">
        <f t="shared" si="210"/>
        <v>208562769.41983438</v>
      </c>
      <c r="V349" s="82"/>
    </row>
    <row r="350" spans="2:23" ht="91.15" customHeight="1">
      <c r="B350" s="80"/>
      <c r="C350" s="472">
        <f t="shared" si="211"/>
        <v>12.299999999999999</v>
      </c>
      <c r="D350" s="473"/>
      <c r="E350" s="473"/>
      <c r="F350" s="473"/>
      <c r="G350" s="98" t="s">
        <v>1019</v>
      </c>
      <c r="H350" s="102" t="s">
        <v>202</v>
      </c>
      <c r="I350" s="474">
        <v>3</v>
      </c>
      <c r="J350" s="114">
        <v>6853396.7971848454</v>
      </c>
      <c r="K350" s="392">
        <f t="shared" si="206"/>
        <v>20560190.391554534</v>
      </c>
      <c r="L350" s="388"/>
      <c r="M350" s="307">
        <f t="shared" si="212"/>
        <v>3</v>
      </c>
      <c r="N350" s="307">
        <f t="shared" si="213"/>
        <v>0</v>
      </c>
      <c r="O350" s="313">
        <f t="shared" si="214"/>
        <v>20560190.391554534</v>
      </c>
      <c r="P350" s="313">
        <f t="shared" si="215"/>
        <v>0</v>
      </c>
      <c r="Q350" s="313">
        <f t="shared" si="216"/>
        <v>20560190.391554534</v>
      </c>
      <c r="R350" s="388"/>
      <c r="S350" s="303">
        <f t="shared" si="217"/>
        <v>3</v>
      </c>
      <c r="T350" s="404">
        <f t="shared" si="209"/>
        <v>6853396.7971848454</v>
      </c>
      <c r="U350" s="501">
        <f t="shared" si="210"/>
        <v>20560190.391554534</v>
      </c>
      <c r="V350" s="82"/>
    </row>
    <row r="351" spans="2:23" ht="62.45" customHeight="1">
      <c r="B351" s="80"/>
      <c r="C351" s="472">
        <f t="shared" si="211"/>
        <v>12.399999999999999</v>
      </c>
      <c r="D351" s="473"/>
      <c r="E351" s="473"/>
      <c r="F351" s="473"/>
      <c r="G351" s="98" t="s">
        <v>1020</v>
      </c>
      <c r="H351" s="102" t="s">
        <v>65</v>
      </c>
      <c r="I351" s="861">
        <v>200</v>
      </c>
      <c r="J351" s="114">
        <v>356452.31379076978</v>
      </c>
      <c r="K351" s="392">
        <f t="shared" si="206"/>
        <v>71290462.75815396</v>
      </c>
      <c r="L351" s="388"/>
      <c r="M351" s="307">
        <f t="shared" si="212"/>
        <v>200</v>
      </c>
      <c r="N351" s="307">
        <f t="shared" si="213"/>
        <v>0</v>
      </c>
      <c r="O351" s="313">
        <f t="shared" si="214"/>
        <v>71290462.75815396</v>
      </c>
      <c r="P351" s="313">
        <f t="shared" si="215"/>
        <v>0</v>
      </c>
      <c r="Q351" s="313">
        <f t="shared" si="216"/>
        <v>71290462.75815396</v>
      </c>
      <c r="R351" s="388"/>
      <c r="S351" s="303">
        <f t="shared" si="217"/>
        <v>200</v>
      </c>
      <c r="T351" s="404">
        <f t="shared" si="209"/>
        <v>356452.31379076978</v>
      </c>
      <c r="U351" s="501">
        <f t="shared" si="210"/>
        <v>71290462.75815396</v>
      </c>
      <c r="V351" s="82"/>
    </row>
    <row r="352" spans="2:23" ht="54" customHeight="1">
      <c r="B352" s="80"/>
      <c r="C352" s="472">
        <f t="shared" si="211"/>
        <v>12.499999999999998</v>
      </c>
      <c r="D352" s="473"/>
      <c r="E352" s="473"/>
      <c r="F352" s="473"/>
      <c r="G352" s="98" t="s">
        <v>1021</v>
      </c>
      <c r="H352" s="102" t="s">
        <v>65</v>
      </c>
      <c r="I352" s="861">
        <v>1003</v>
      </c>
      <c r="J352" s="114">
        <v>192368.85459076983</v>
      </c>
      <c r="K352" s="392">
        <f t="shared" si="206"/>
        <v>192945961.15454215</v>
      </c>
      <c r="L352" s="388"/>
      <c r="M352" s="307">
        <f t="shared" si="212"/>
        <v>1003</v>
      </c>
      <c r="N352" s="307">
        <f t="shared" si="213"/>
        <v>0</v>
      </c>
      <c r="O352" s="313">
        <f t="shared" si="214"/>
        <v>192945961.15454215</v>
      </c>
      <c r="P352" s="313">
        <f t="shared" si="215"/>
        <v>0</v>
      </c>
      <c r="Q352" s="313">
        <f t="shared" si="216"/>
        <v>192945961.15454215</v>
      </c>
      <c r="R352" s="388"/>
      <c r="S352" s="303">
        <f t="shared" si="217"/>
        <v>1003</v>
      </c>
      <c r="T352" s="404">
        <f t="shared" si="209"/>
        <v>192368.85459076983</v>
      </c>
      <c r="U352" s="501">
        <f t="shared" si="210"/>
        <v>192945961.15454215</v>
      </c>
      <c r="V352" s="82"/>
    </row>
    <row r="353" spans="2:23" ht="44.45" customHeight="1">
      <c r="B353" s="80"/>
      <c r="C353" s="472">
        <f t="shared" si="211"/>
        <v>12.599999999999998</v>
      </c>
      <c r="D353" s="473"/>
      <c r="E353" s="473"/>
      <c r="F353" s="473"/>
      <c r="G353" s="98" t="s">
        <v>1023</v>
      </c>
      <c r="H353" s="102" t="s">
        <v>202</v>
      </c>
      <c r="I353" s="474">
        <v>1</v>
      </c>
      <c r="J353" s="114">
        <v>31673118.241281919</v>
      </c>
      <c r="K353" s="392">
        <f t="shared" si="206"/>
        <v>31673118.241281919</v>
      </c>
      <c r="L353" s="388"/>
      <c r="M353" s="307">
        <f t="shared" si="212"/>
        <v>1</v>
      </c>
      <c r="N353" s="307">
        <f t="shared" si="213"/>
        <v>0</v>
      </c>
      <c r="O353" s="313">
        <f t="shared" si="214"/>
        <v>31673118.241281919</v>
      </c>
      <c r="P353" s="313">
        <f t="shared" si="215"/>
        <v>0</v>
      </c>
      <c r="Q353" s="313">
        <f t="shared" si="216"/>
        <v>31673118.241281919</v>
      </c>
      <c r="R353" s="388"/>
      <c r="S353" s="303">
        <f t="shared" si="217"/>
        <v>1</v>
      </c>
      <c r="T353" s="404">
        <f t="shared" si="209"/>
        <v>31673118.241281919</v>
      </c>
      <c r="U353" s="501">
        <f t="shared" si="210"/>
        <v>31673118.241281919</v>
      </c>
      <c r="V353" s="82"/>
    </row>
    <row r="354" spans="2:23" ht="121.9" customHeight="1">
      <c r="B354" s="80"/>
      <c r="C354" s="472">
        <f t="shared" si="211"/>
        <v>12.699999999999998</v>
      </c>
      <c r="D354" s="473"/>
      <c r="E354" s="473"/>
      <c r="F354" s="473"/>
      <c r="G354" s="98" t="s">
        <v>1024</v>
      </c>
      <c r="H354" s="102" t="s">
        <v>1025</v>
      </c>
      <c r="I354" s="474">
        <v>1</v>
      </c>
      <c r="J354" s="114">
        <v>69587450.400000006</v>
      </c>
      <c r="K354" s="392">
        <f t="shared" ref="K354" si="218">I354*J354</f>
        <v>69587450.400000006</v>
      </c>
      <c r="L354" s="388"/>
      <c r="M354" s="307">
        <f t="shared" si="212"/>
        <v>1</v>
      </c>
      <c r="N354" s="307">
        <f t="shared" si="213"/>
        <v>0</v>
      </c>
      <c r="O354" s="313">
        <f>+M354*J354</f>
        <v>69587450.400000006</v>
      </c>
      <c r="P354" s="313">
        <f t="shared" si="215"/>
        <v>0</v>
      </c>
      <c r="Q354" s="313">
        <f t="shared" si="216"/>
        <v>69587450.400000006</v>
      </c>
      <c r="R354" s="388"/>
      <c r="S354" s="303">
        <f t="shared" si="217"/>
        <v>1</v>
      </c>
      <c r="T354" s="404">
        <f t="shared" si="209"/>
        <v>69587450.400000006</v>
      </c>
      <c r="U354" s="501">
        <f t="shared" ref="U354" si="219">+S354*T354</f>
        <v>69587450.400000006</v>
      </c>
      <c r="V354" s="82"/>
    </row>
    <row r="355" spans="2:23" ht="90">
      <c r="B355" s="80"/>
      <c r="C355" s="472">
        <f t="shared" si="211"/>
        <v>12.799999999999997</v>
      </c>
      <c r="D355" s="473"/>
      <c r="E355" s="473"/>
      <c r="F355" s="473"/>
      <c r="G355" s="98" t="s">
        <v>1195</v>
      </c>
      <c r="H355" s="102" t="s">
        <v>202</v>
      </c>
      <c r="I355" s="474">
        <v>4</v>
      </c>
      <c r="J355" s="114">
        <v>31832071.170595087</v>
      </c>
      <c r="K355" s="392">
        <f t="shared" ref="K355:K356" si="220">I355*J355</f>
        <v>127328284.68238035</v>
      </c>
      <c r="L355" s="388"/>
      <c r="M355" s="307">
        <f t="shared" ref="M355:M356" si="221">+I355</f>
        <v>4</v>
      </c>
      <c r="N355" s="307">
        <f t="shared" ref="N355:N356" si="222">+IF(I355&gt;S355,-S355+I355,0)</f>
        <v>0</v>
      </c>
      <c r="O355" s="313">
        <f t="shared" ref="O355:O356" si="223">+M355*J355</f>
        <v>127328284.68238035</v>
      </c>
      <c r="P355" s="313">
        <f t="shared" ref="P355:P356" si="224">+N355*J355</f>
        <v>0</v>
      </c>
      <c r="Q355" s="313">
        <f t="shared" ref="Q355:Q356" si="225">+O355-P355</f>
        <v>127328284.68238035</v>
      </c>
      <c r="R355" s="388"/>
      <c r="S355" s="303">
        <f t="shared" ref="S355:S356" si="226">+I355</f>
        <v>4</v>
      </c>
      <c r="T355" s="404">
        <f t="shared" ref="T355:T356" si="227">+J355</f>
        <v>31832071.170595087</v>
      </c>
      <c r="U355" s="501">
        <f t="shared" ref="U355:U356" si="228">+S355*T355</f>
        <v>127328284.68238035</v>
      </c>
      <c r="V355" s="82"/>
    </row>
    <row r="356" spans="2:23" ht="82.9" customHeight="1">
      <c r="B356" s="80"/>
      <c r="C356" s="472">
        <f t="shared" si="211"/>
        <v>12.899999999999997</v>
      </c>
      <c r="D356" s="473"/>
      <c r="E356" s="473"/>
      <c r="F356" s="473"/>
      <c r="G356" s="98" t="s">
        <v>1196</v>
      </c>
      <c r="H356" s="102" t="s">
        <v>202</v>
      </c>
      <c r="I356" s="861">
        <v>6</v>
      </c>
      <c r="J356" s="114">
        <v>19401655.606174558</v>
      </c>
      <c r="K356" s="392">
        <f t="shared" si="220"/>
        <v>116409933.63704735</v>
      </c>
      <c r="L356" s="388"/>
      <c r="M356" s="307">
        <f t="shared" si="221"/>
        <v>6</v>
      </c>
      <c r="N356" s="307">
        <f t="shared" si="222"/>
        <v>0</v>
      </c>
      <c r="O356" s="313">
        <f t="shared" si="223"/>
        <v>116409933.63704735</v>
      </c>
      <c r="P356" s="313">
        <f t="shared" si="224"/>
        <v>0</v>
      </c>
      <c r="Q356" s="313">
        <f t="shared" si="225"/>
        <v>116409933.63704735</v>
      </c>
      <c r="R356" s="388"/>
      <c r="S356" s="303">
        <f t="shared" si="226"/>
        <v>6</v>
      </c>
      <c r="T356" s="404">
        <f t="shared" si="227"/>
        <v>19401655.606174558</v>
      </c>
      <c r="U356" s="501">
        <f t="shared" si="228"/>
        <v>116409933.63704735</v>
      </c>
      <c r="V356" s="82"/>
    </row>
    <row r="357" spans="2:23" s="82" customFormat="1" ht="15.75">
      <c r="B357" s="83"/>
      <c r="C357" s="868" t="s">
        <v>8</v>
      </c>
      <c r="D357" s="868"/>
      <c r="E357" s="868"/>
      <c r="F357" s="868"/>
      <c r="G357" s="387"/>
      <c r="H357" s="387"/>
      <c r="I357" s="387"/>
      <c r="J357" s="387"/>
      <c r="K357" s="306">
        <f>SUM(K348:K356)</f>
        <v>962101039.26549506</v>
      </c>
      <c r="L357" s="309"/>
      <c r="M357" s="307"/>
      <c r="N357" s="307"/>
      <c r="O357" s="308">
        <f>SUM(O348:O356)</f>
        <v>962101039.26549506</v>
      </c>
      <c r="P357" s="308">
        <f>SUM(P348:P354)</f>
        <v>0</v>
      </c>
      <c r="Q357" s="308">
        <f>SUM(Q348:Q356)</f>
        <v>962101039.26549506</v>
      </c>
      <c r="R357" s="305"/>
      <c r="S357" s="305"/>
      <c r="T357" s="305"/>
      <c r="U357" s="506">
        <f>SUM(U348:U356)</f>
        <v>962101039.26549506</v>
      </c>
      <c r="W357" s="145"/>
    </row>
    <row r="358" spans="2:23" ht="30" customHeight="1">
      <c r="B358" s="80"/>
      <c r="C358" s="867" t="s">
        <v>277</v>
      </c>
      <c r="D358" s="867"/>
      <c r="E358" s="867"/>
      <c r="F358" s="867"/>
      <c r="G358" s="867"/>
      <c r="H358" s="867"/>
      <c r="I358" s="867"/>
      <c r="J358" s="867"/>
      <c r="K358" s="867"/>
      <c r="L358" s="867"/>
      <c r="M358" s="867"/>
      <c r="N358" s="867"/>
      <c r="O358" s="867"/>
      <c r="P358" s="867"/>
      <c r="Q358" s="867"/>
      <c r="R358" s="391"/>
      <c r="S358" s="391"/>
      <c r="T358" s="391"/>
      <c r="U358" s="522"/>
      <c r="V358" s="82"/>
    </row>
    <row r="359" spans="2:23" s="82" customFormat="1" ht="52.9" customHeight="1">
      <c r="B359" s="83"/>
      <c r="C359" s="475" t="s">
        <v>995</v>
      </c>
      <c r="D359" s="387"/>
      <c r="E359" s="387"/>
      <c r="F359" s="387"/>
      <c r="G359" s="98" t="s">
        <v>996</v>
      </c>
      <c r="H359" s="102" t="s">
        <v>267</v>
      </c>
      <c r="I359" s="861">
        <v>106</v>
      </c>
      <c r="J359" s="304">
        <v>1134382.22</v>
      </c>
      <c r="K359" s="392">
        <f>I359*J359</f>
        <v>120244515.31999999</v>
      </c>
      <c r="L359" s="388"/>
      <c r="M359" s="307">
        <f t="shared" ref="M359" si="229">+I359</f>
        <v>106</v>
      </c>
      <c r="N359" s="307">
        <f t="shared" ref="N359" si="230">+IF(I359&gt;S359,-S359+I359,0)</f>
        <v>0</v>
      </c>
      <c r="O359" s="313">
        <f t="shared" ref="O359" si="231">+M359*J359</f>
        <v>120244515.31999999</v>
      </c>
      <c r="P359" s="313">
        <f t="shared" ref="P359" si="232">+N359*J359</f>
        <v>0</v>
      </c>
      <c r="Q359" s="313">
        <f t="shared" ref="Q359" si="233">+O359-P359</f>
        <v>120244515.31999999</v>
      </c>
      <c r="R359" s="388"/>
      <c r="S359" s="303">
        <f>+I359</f>
        <v>106</v>
      </c>
      <c r="T359" s="404">
        <f t="shared" ref="T359:T361" si="234">+J359</f>
        <v>1134382.22</v>
      </c>
      <c r="U359" s="501">
        <f>+S359*T359</f>
        <v>120244515.31999999</v>
      </c>
      <c r="W359" s="476"/>
    </row>
    <row r="360" spans="2:23" s="82" customFormat="1" ht="31.15" customHeight="1">
      <c r="B360" s="83"/>
      <c r="C360" s="475" t="s">
        <v>1043</v>
      </c>
      <c r="D360" s="387"/>
      <c r="E360" s="387"/>
      <c r="F360" s="387"/>
      <c r="G360" s="98" t="s">
        <v>1046</v>
      </c>
      <c r="H360" s="102" t="s">
        <v>65</v>
      </c>
      <c r="I360" s="864">
        <v>830</v>
      </c>
      <c r="J360" s="304">
        <v>129882.36</v>
      </c>
      <c r="K360" s="392">
        <f>I360*J360</f>
        <v>107802358.8</v>
      </c>
      <c r="L360" s="388"/>
      <c r="M360" s="307">
        <f t="shared" ref="M360:M362" si="235">+I360</f>
        <v>830</v>
      </c>
      <c r="N360" s="307">
        <f t="shared" ref="N360:N362" si="236">+IF(I360&gt;S360,-S360+I360,0)</f>
        <v>0</v>
      </c>
      <c r="O360" s="313">
        <f t="shared" ref="O360:O362" si="237">+M360*J360</f>
        <v>107802358.8</v>
      </c>
      <c r="P360" s="313">
        <f t="shared" ref="P360:P362" si="238">+N360*J360</f>
        <v>0</v>
      </c>
      <c r="Q360" s="313">
        <f t="shared" ref="Q360:Q362" si="239">+O360-P360</f>
        <v>107802358.8</v>
      </c>
      <c r="R360" s="388"/>
      <c r="S360" s="303">
        <f t="shared" ref="S360:S362" si="240">+I360</f>
        <v>830</v>
      </c>
      <c r="T360" s="404">
        <f t="shared" si="234"/>
        <v>129882.36</v>
      </c>
      <c r="U360" s="501">
        <f t="shared" ref="U360:U362" si="241">+S360*T360</f>
        <v>107802358.8</v>
      </c>
      <c r="W360" s="476"/>
    </row>
    <row r="361" spans="2:23" s="82" customFormat="1" ht="46.9" customHeight="1">
      <c r="B361" s="83"/>
      <c r="C361" s="475" t="s">
        <v>1044</v>
      </c>
      <c r="D361" s="387"/>
      <c r="E361" s="387"/>
      <c r="F361" s="387"/>
      <c r="G361" s="98" t="s">
        <v>1048</v>
      </c>
      <c r="H361" s="102" t="s">
        <v>153</v>
      </c>
      <c r="I361" s="474">
        <v>1</v>
      </c>
      <c r="J361" s="304">
        <v>116123583.78</v>
      </c>
      <c r="K361" s="451">
        <f t="shared" ref="K361:K362" si="242">I361*J361</f>
        <v>116123583.78</v>
      </c>
      <c r="L361" s="388"/>
      <c r="M361" s="307">
        <f t="shared" si="235"/>
        <v>1</v>
      </c>
      <c r="N361" s="307">
        <f t="shared" si="236"/>
        <v>0</v>
      </c>
      <c r="O361" s="313">
        <f t="shared" si="237"/>
        <v>116123583.78</v>
      </c>
      <c r="P361" s="313">
        <f t="shared" si="238"/>
        <v>0</v>
      </c>
      <c r="Q361" s="313">
        <f t="shared" si="239"/>
        <v>116123583.78</v>
      </c>
      <c r="R361" s="388"/>
      <c r="S361" s="303">
        <f t="shared" si="240"/>
        <v>1</v>
      </c>
      <c r="T361" s="404">
        <f t="shared" si="234"/>
        <v>116123583.78</v>
      </c>
      <c r="U361" s="501">
        <f t="shared" si="241"/>
        <v>116123583.78</v>
      </c>
      <c r="W361" s="476"/>
    </row>
    <row r="362" spans="2:23" s="82" customFormat="1" ht="60">
      <c r="B362" s="83"/>
      <c r="C362" s="475" t="s">
        <v>1047</v>
      </c>
      <c r="D362" s="387"/>
      <c r="E362" s="387"/>
      <c r="F362" s="387"/>
      <c r="G362" s="98" t="s">
        <v>1111</v>
      </c>
      <c r="H362" s="102" t="s">
        <v>202</v>
      </c>
      <c r="I362" s="865">
        <v>6</v>
      </c>
      <c r="J362" s="304">
        <v>1166291.3799999999</v>
      </c>
      <c r="K362" s="451">
        <f t="shared" si="242"/>
        <v>6997748.2799999993</v>
      </c>
      <c r="L362" s="388"/>
      <c r="M362" s="307">
        <f t="shared" si="235"/>
        <v>6</v>
      </c>
      <c r="N362" s="307">
        <f t="shared" si="236"/>
        <v>0</v>
      </c>
      <c r="O362" s="313">
        <f t="shared" si="237"/>
        <v>6997748.2799999993</v>
      </c>
      <c r="P362" s="313">
        <f t="shared" si="238"/>
        <v>0</v>
      </c>
      <c r="Q362" s="313">
        <f t="shared" si="239"/>
        <v>6997748.2799999993</v>
      </c>
      <c r="R362" s="388"/>
      <c r="S362" s="303">
        <f t="shared" si="240"/>
        <v>6</v>
      </c>
      <c r="T362" s="404">
        <f>+J362</f>
        <v>1166291.3799999999</v>
      </c>
      <c r="U362" s="501">
        <f t="shared" si="241"/>
        <v>6997748.2799999993</v>
      </c>
      <c r="W362" s="476"/>
    </row>
    <row r="363" spans="2:23" s="82" customFormat="1" ht="15.75">
      <c r="B363" s="83"/>
      <c r="C363" s="868" t="s">
        <v>8</v>
      </c>
      <c r="D363" s="868"/>
      <c r="E363" s="868"/>
      <c r="F363" s="868"/>
      <c r="G363" s="387"/>
      <c r="H363" s="387"/>
      <c r="I363" s="387"/>
      <c r="J363" s="387"/>
      <c r="K363" s="306">
        <f>SUM(K359:K362)</f>
        <v>351168206.17999995</v>
      </c>
      <c r="L363" s="309"/>
      <c r="M363" s="307"/>
      <c r="N363" s="307"/>
      <c r="O363" s="306">
        <f>SUM(O359:O362)</f>
        <v>351168206.17999995</v>
      </c>
      <c r="P363" s="308">
        <f>SUM(P359:P361)</f>
        <v>0</v>
      </c>
      <c r="Q363" s="308">
        <f>SUM(Q359:Q362)</f>
        <v>351168206.17999995</v>
      </c>
      <c r="R363" s="305"/>
      <c r="S363" s="305"/>
      <c r="T363" s="305"/>
      <c r="U363" s="506">
        <f>SUM(U359:U362)</f>
        <v>351168206.17999995</v>
      </c>
      <c r="W363" s="145"/>
    </row>
    <row r="364" spans="2:23" s="82" customFormat="1" ht="30" customHeight="1" thickBot="1">
      <c r="B364" s="83"/>
      <c r="C364" s="880" t="s">
        <v>9</v>
      </c>
      <c r="D364" s="881"/>
      <c r="E364" s="881"/>
      <c r="F364" s="881"/>
      <c r="G364" s="881"/>
      <c r="H364" s="881"/>
      <c r="I364" s="881"/>
      <c r="J364" s="882"/>
      <c r="K364" s="242">
        <f>+K323+K326+K332+K337+K357+K363+K341+K346</f>
        <v>5381950058.0467672</v>
      </c>
      <c r="L364" s="417"/>
      <c r="M364" s="415"/>
      <c r="N364" s="416"/>
      <c r="O364" s="242">
        <f>+O323+O326+O332+O337+O357+O363+O341+O346</f>
        <v>5381950058.0467672</v>
      </c>
      <c r="P364" s="242">
        <f>+P323+P326+P332+P337+P357+P363+P341</f>
        <v>0</v>
      </c>
      <c r="Q364" s="242">
        <f>+Q323+Q326+Q332+Q337+Q357+Q363+Q341+Q346</f>
        <v>5381950058.0467672</v>
      </c>
      <c r="R364" s="296"/>
      <c r="S364" s="296"/>
      <c r="T364" s="296"/>
      <c r="U364" s="523">
        <f>+U323+U326+U332+U337+U357+U363+U341+U346</f>
        <v>5381950058.0467672</v>
      </c>
      <c r="V364" s="408">
        <f>+U364-K364</f>
        <v>0</v>
      </c>
    </row>
    <row r="365" spans="2:23" s="82" customFormat="1" ht="16.5" thickBot="1">
      <c r="B365" s="83"/>
      <c r="C365" s="596"/>
      <c r="D365" s="596"/>
      <c r="E365" s="596"/>
      <c r="F365" s="596"/>
      <c r="G365" s="596"/>
      <c r="H365" s="596"/>
      <c r="I365" s="596"/>
      <c r="J365" s="596"/>
      <c r="K365" s="597"/>
      <c r="L365" s="598"/>
      <c r="M365" s="243"/>
      <c r="N365" s="243"/>
      <c r="O365" s="243"/>
      <c r="P365" s="243"/>
      <c r="Q365" s="244"/>
      <c r="R365" s="244"/>
      <c r="S365" s="244"/>
      <c r="T365" s="244"/>
      <c r="U365" s="520"/>
    </row>
    <row r="366" spans="2:23" s="82" customFormat="1" ht="36.6" customHeight="1" thickBot="1">
      <c r="B366" s="83"/>
      <c r="C366" s="880" t="s">
        <v>9</v>
      </c>
      <c r="D366" s="881"/>
      <c r="E366" s="881"/>
      <c r="F366" s="881"/>
      <c r="G366" s="881"/>
      <c r="H366" s="881"/>
      <c r="I366" s="881"/>
      <c r="J366" s="882"/>
      <c r="K366" s="597"/>
      <c r="L366" s="598"/>
      <c r="M366" s="911"/>
      <c r="N366" s="912"/>
      <c r="O366" s="912"/>
      <c r="P366" s="912"/>
      <c r="Q366" s="912"/>
      <c r="R366" s="296"/>
      <c r="S366" s="296"/>
      <c r="T366" s="296"/>
      <c r="U366" s="524">
        <f>+U364</f>
        <v>5381950058.0467672</v>
      </c>
      <c r="V366" s="145">
        <f>+U366/K372</f>
        <v>0.22788051900113926</v>
      </c>
    </row>
    <row r="367" spans="2:23" s="82" customFormat="1" ht="15.75">
      <c r="B367" s="83"/>
      <c r="C367" s="596"/>
      <c r="D367" s="596"/>
      <c r="E367" s="596"/>
      <c r="F367" s="596"/>
      <c r="G367" s="596"/>
      <c r="H367" s="596"/>
      <c r="I367" s="596"/>
      <c r="J367" s="596"/>
      <c r="K367" s="597"/>
      <c r="L367" s="598"/>
      <c r="M367" s="243"/>
      <c r="N367" s="243"/>
      <c r="O367" s="243"/>
      <c r="P367" s="243"/>
      <c r="Q367" s="244"/>
      <c r="R367" s="244"/>
      <c r="S367" s="244"/>
      <c r="T367" s="244"/>
      <c r="U367" s="520"/>
    </row>
    <row r="368" spans="2:23" s="82" customFormat="1" ht="15.75">
      <c r="B368" s="83"/>
      <c r="C368" s="596"/>
      <c r="D368" s="596"/>
      <c r="E368" s="596"/>
      <c r="F368" s="596"/>
      <c r="G368" s="596"/>
      <c r="H368" s="596"/>
      <c r="I368" s="596"/>
      <c r="J368" s="596"/>
      <c r="K368" s="597"/>
      <c r="L368" s="598"/>
      <c r="M368" s="243"/>
      <c r="N368" s="243"/>
      <c r="O368" s="243"/>
      <c r="P368" s="243"/>
      <c r="Q368" s="244"/>
      <c r="R368" s="244"/>
      <c r="S368" s="244"/>
      <c r="T368" s="244"/>
      <c r="U368" s="520"/>
    </row>
    <row r="369" spans="2:25" s="82" customFormat="1" ht="30" customHeight="1">
      <c r="B369" s="83"/>
      <c r="C369" s="600"/>
      <c r="D369" s="601"/>
      <c r="E369" s="600"/>
      <c r="F369" s="600"/>
      <c r="G369" s="951" t="s">
        <v>300</v>
      </c>
      <c r="H369" s="951"/>
      <c r="I369" s="951"/>
      <c r="J369" s="951"/>
      <c r="K369" s="357">
        <v>15889825</v>
      </c>
      <c r="L369" s="292"/>
      <c r="M369" s="243"/>
      <c r="N369" s="243"/>
      <c r="O369" s="243"/>
      <c r="P369" s="898" t="s">
        <v>300</v>
      </c>
      <c r="Q369" s="899"/>
      <c r="R369" s="899"/>
      <c r="S369" s="900"/>
      <c r="T369" s="343"/>
      <c r="U369" s="525">
        <v>15889825</v>
      </c>
    </row>
    <row r="370" spans="2:25" s="82" customFormat="1" ht="30" customHeight="1">
      <c r="B370" s="83"/>
      <c r="C370" s="600"/>
      <c r="D370" s="601"/>
      <c r="E370" s="600"/>
      <c r="F370" s="600"/>
      <c r="G370" s="951" t="s">
        <v>301</v>
      </c>
      <c r="H370" s="951"/>
      <c r="I370" s="951"/>
      <c r="J370" s="951"/>
      <c r="K370" s="357">
        <v>14234769</v>
      </c>
      <c r="L370" s="292"/>
      <c r="M370" s="243"/>
      <c r="N370" s="243"/>
      <c r="O370" s="243"/>
      <c r="P370" s="898" t="s">
        <v>301</v>
      </c>
      <c r="Q370" s="899"/>
      <c r="R370" s="899"/>
      <c r="S370" s="900"/>
      <c r="T370" s="343"/>
      <c r="U370" s="525">
        <v>14234769</v>
      </c>
    </row>
    <row r="371" spans="2:25" s="82" customFormat="1" ht="30" customHeight="1">
      <c r="B371" s="83"/>
      <c r="C371" s="600"/>
      <c r="D371" s="601"/>
      <c r="E371" s="600"/>
      <c r="F371" s="602"/>
      <c r="G371" s="951" t="s">
        <v>302</v>
      </c>
      <c r="H371" s="951"/>
      <c r="I371" s="951"/>
      <c r="J371" s="951"/>
      <c r="K371" s="357">
        <v>7578508</v>
      </c>
      <c r="L371" s="292"/>
      <c r="M371" s="243"/>
      <c r="N371" s="243"/>
      <c r="O371" s="243"/>
      <c r="P371" s="901" t="s">
        <v>302</v>
      </c>
      <c r="Q371" s="902"/>
      <c r="R371" s="902"/>
      <c r="S371" s="903"/>
      <c r="T371" s="343"/>
      <c r="U371" s="525">
        <v>7578508</v>
      </c>
    </row>
    <row r="372" spans="2:25" s="82" customFormat="1" ht="30" customHeight="1">
      <c r="B372" s="83"/>
      <c r="C372" s="600"/>
      <c r="D372" s="601"/>
      <c r="E372" s="600"/>
      <c r="F372" s="600"/>
      <c r="G372" s="866" t="s">
        <v>388</v>
      </c>
      <c r="H372" s="866"/>
      <c r="I372" s="866"/>
      <c r="J372" s="866"/>
      <c r="K372" s="358">
        <f>K311+K369+K370+K371</f>
        <v>23617420574.769978</v>
      </c>
      <c r="L372" s="603"/>
      <c r="M372" s="243"/>
      <c r="N372" s="243"/>
      <c r="O372" s="243"/>
      <c r="P372" s="866" t="s">
        <v>388</v>
      </c>
      <c r="Q372" s="866"/>
      <c r="R372" s="866"/>
      <c r="S372" s="866"/>
      <c r="T372" s="604"/>
      <c r="U372" s="526">
        <f>U311+U369+U370+U371+U366</f>
        <v>29381955245.513111</v>
      </c>
      <c r="V372" s="344">
        <f>+U372-K372</f>
        <v>5764534670.7431335</v>
      </c>
    </row>
    <row r="373" spans="2:25" s="82" customFormat="1" ht="30" customHeight="1">
      <c r="B373" s="83"/>
      <c r="C373" s="600"/>
      <c r="D373" s="601"/>
      <c r="E373" s="600"/>
      <c r="F373" s="600"/>
      <c r="G373" s="605"/>
      <c r="H373" s="605"/>
      <c r="I373" s="605"/>
      <c r="J373" s="605"/>
      <c r="K373" s="603"/>
      <c r="L373" s="603"/>
      <c r="M373" s="243"/>
      <c r="N373" s="243"/>
      <c r="O373" s="243"/>
      <c r="P373" s="243"/>
      <c r="Q373" s="244"/>
      <c r="R373" s="244"/>
      <c r="S373" s="604"/>
      <c r="T373" s="604"/>
      <c r="U373" s="527"/>
      <c r="V373" s="145">
        <f>+V372/K372</f>
        <v>0.24407977376247733</v>
      </c>
    </row>
    <row r="374" spans="2:25" s="82" customFormat="1" ht="30" customHeight="1">
      <c r="B374" s="83"/>
      <c r="C374" s="600"/>
      <c r="D374" s="601"/>
      <c r="E374" s="600"/>
      <c r="F374" s="600"/>
      <c r="G374" s="605"/>
      <c r="H374" s="605"/>
      <c r="I374" s="605"/>
      <c r="J374" s="605"/>
      <c r="K374" s="603"/>
      <c r="L374" s="603"/>
      <c r="M374" s="243"/>
      <c r="N374" s="243"/>
      <c r="O374" s="243"/>
      <c r="P374" s="243"/>
      <c r="Q374" s="244"/>
      <c r="R374" s="244"/>
      <c r="S374" s="604"/>
      <c r="T374" s="604"/>
      <c r="U374" s="527"/>
      <c r="V374" s="245"/>
    </row>
    <row r="375" spans="2:25" s="82" customFormat="1" ht="30" customHeight="1" thickBot="1">
      <c r="B375" s="83"/>
      <c r="C375" s="600"/>
      <c r="D375" s="601"/>
      <c r="E375" s="600"/>
      <c r="F375" s="600"/>
      <c r="G375" s="605"/>
      <c r="H375" s="605"/>
      <c r="I375" s="605"/>
      <c r="J375" s="605"/>
      <c r="K375" s="605"/>
      <c r="L375" s="606"/>
      <c r="M375" s="243"/>
      <c r="N375" s="243"/>
      <c r="O375" s="243"/>
      <c r="P375" s="243"/>
      <c r="Q375" s="244"/>
      <c r="R375" s="244"/>
      <c r="S375" s="244"/>
      <c r="T375" s="244"/>
      <c r="U375" s="520"/>
    </row>
    <row r="376" spans="2:25" ht="30" customHeight="1" thickBot="1">
      <c r="B376" s="80"/>
      <c r="C376" s="953" t="s">
        <v>389</v>
      </c>
      <c r="D376" s="954"/>
      <c r="E376" s="954"/>
      <c r="F376" s="954"/>
      <c r="G376" s="954"/>
      <c r="H376" s="954"/>
      <c r="I376" s="954"/>
      <c r="J376" s="954"/>
      <c r="K376" s="955"/>
      <c r="L376" s="291"/>
      <c r="M376" s="873" t="s">
        <v>913</v>
      </c>
      <c r="N376" s="874"/>
      <c r="O376" s="874"/>
      <c r="P376" s="874"/>
      <c r="Q376" s="875"/>
      <c r="R376" s="607"/>
      <c r="S376" s="873" t="s">
        <v>921</v>
      </c>
      <c r="T376" s="874"/>
      <c r="U376" s="924"/>
    </row>
    <row r="377" spans="2:25" ht="30" customHeight="1" thickBot="1">
      <c r="B377" s="80"/>
      <c r="C377" s="276" t="s">
        <v>0</v>
      </c>
      <c r="D377" s="277" t="s">
        <v>1</v>
      </c>
      <c r="E377" s="931" t="s">
        <v>2</v>
      </c>
      <c r="F377" s="931"/>
      <c r="G377" s="276" t="s">
        <v>3</v>
      </c>
      <c r="H377" s="277" t="s">
        <v>4</v>
      </c>
      <c r="I377" s="277" t="s">
        <v>5</v>
      </c>
      <c r="J377" s="278" t="s">
        <v>6</v>
      </c>
      <c r="K377" s="279" t="s">
        <v>7</v>
      </c>
      <c r="L377" s="286"/>
      <c r="M377" s="298" t="s">
        <v>914</v>
      </c>
      <c r="N377" s="298" t="s">
        <v>915</v>
      </c>
      <c r="O377" s="298" t="s">
        <v>923</v>
      </c>
      <c r="P377" s="298" t="s">
        <v>924</v>
      </c>
      <c r="Q377" s="298" t="s">
        <v>916</v>
      </c>
      <c r="R377" s="608"/>
      <c r="S377" s="298" t="s">
        <v>5</v>
      </c>
      <c r="T377" s="298" t="s">
        <v>922</v>
      </c>
      <c r="U377" s="499" t="s">
        <v>916</v>
      </c>
    </row>
    <row r="378" spans="2:25" ht="30" customHeight="1" thickBot="1">
      <c r="B378" s="80"/>
      <c r="C378" s="886" t="s">
        <v>19</v>
      </c>
      <c r="D378" s="887"/>
      <c r="E378" s="887"/>
      <c r="F378" s="887"/>
      <c r="G378" s="887"/>
      <c r="H378" s="887"/>
      <c r="I378" s="887"/>
      <c r="J378" s="887"/>
      <c r="K378" s="887"/>
      <c r="L378" s="888"/>
      <c r="M378" s="887"/>
      <c r="N378" s="887"/>
      <c r="O378" s="887"/>
      <c r="P378" s="887"/>
      <c r="Q378" s="887"/>
      <c r="R378" s="589"/>
      <c r="S378" s="589"/>
      <c r="T378" s="589"/>
      <c r="U378" s="500"/>
    </row>
    <row r="379" spans="2:25" ht="30" customHeight="1">
      <c r="B379" s="80"/>
      <c r="C379" s="84">
        <v>1.1000000000000001</v>
      </c>
      <c r="D379" s="85"/>
      <c r="E379" s="85"/>
      <c r="F379" s="85"/>
      <c r="G379" s="86" t="s">
        <v>20</v>
      </c>
      <c r="H379" s="85" t="s">
        <v>21</v>
      </c>
      <c r="I379" s="87">
        <v>22860</v>
      </c>
      <c r="J379" s="88">
        <v>1825</v>
      </c>
      <c r="K379" s="140">
        <f t="shared" ref="K379:K386" si="243">I379*J379</f>
        <v>41719500</v>
      </c>
      <c r="L379" s="314"/>
      <c r="M379" s="508">
        <f t="shared" ref="M379:M386" si="244">+IF(I379&lt;S379,S379-I379,0)</f>
        <v>0</v>
      </c>
      <c r="N379" s="307">
        <f t="shared" ref="N379:N386" si="245">+IF(I379&gt;S379,-S379+I379,0)</f>
        <v>0</v>
      </c>
      <c r="O379" s="313">
        <f t="shared" ref="O379:O386" si="246">+M379*J379</f>
        <v>0</v>
      </c>
      <c r="P379" s="313">
        <f t="shared" ref="P379:P386" si="247">+N379*J379</f>
        <v>0</v>
      </c>
      <c r="Q379" s="313">
        <f t="shared" ref="Q379:Q380" si="248">+O379-P379</f>
        <v>0</v>
      </c>
      <c r="R379" s="326"/>
      <c r="S379" s="303">
        <f>+'MEMORIAS DE CANTIDADES'!L2731</f>
        <v>22860</v>
      </c>
      <c r="T379" s="304">
        <f t="shared" ref="T379:T386" si="249">+J379</f>
        <v>1825</v>
      </c>
      <c r="U379" s="528">
        <f t="shared" ref="U379" si="250">+S379*T379</f>
        <v>41719500</v>
      </c>
    </row>
    <row r="380" spans="2:25" ht="30" customHeight="1">
      <c r="B380" s="80"/>
      <c r="C380" s="84">
        <v>1.2</v>
      </c>
      <c r="D380" s="85"/>
      <c r="E380" s="85"/>
      <c r="F380" s="85"/>
      <c r="G380" s="86" t="s">
        <v>22</v>
      </c>
      <c r="H380" s="85" t="s">
        <v>23</v>
      </c>
      <c r="I380" s="87">
        <v>597</v>
      </c>
      <c r="J380" s="88">
        <v>49945</v>
      </c>
      <c r="K380" s="140">
        <f t="shared" si="243"/>
        <v>29817165</v>
      </c>
      <c r="L380" s="315"/>
      <c r="M380" s="508">
        <f t="shared" si="244"/>
        <v>0</v>
      </c>
      <c r="N380" s="307">
        <f t="shared" si="245"/>
        <v>597</v>
      </c>
      <c r="O380" s="313">
        <f t="shared" si="246"/>
        <v>0</v>
      </c>
      <c r="P380" s="313">
        <f t="shared" si="247"/>
        <v>29817165</v>
      </c>
      <c r="Q380" s="313">
        <f t="shared" si="248"/>
        <v>-29817165</v>
      </c>
      <c r="R380" s="321"/>
      <c r="S380" s="303">
        <v>0</v>
      </c>
      <c r="T380" s="304">
        <f t="shared" si="249"/>
        <v>49945</v>
      </c>
      <c r="U380" s="528">
        <f t="shared" ref="U380:U386" si="251">+S380*T380</f>
        <v>0</v>
      </c>
    </row>
    <row r="381" spans="2:25" ht="39.75" customHeight="1">
      <c r="B381" s="80"/>
      <c r="C381" s="84">
        <v>1.3</v>
      </c>
      <c r="D381" s="85"/>
      <c r="E381" s="85"/>
      <c r="F381" s="85"/>
      <c r="G381" s="86" t="s">
        <v>24</v>
      </c>
      <c r="H381" s="85" t="s">
        <v>25</v>
      </c>
      <c r="I381" s="87">
        <v>754.52155000000005</v>
      </c>
      <c r="J381" s="88">
        <v>65391</v>
      </c>
      <c r="K381" s="140">
        <f t="shared" si="243"/>
        <v>49338918.67605</v>
      </c>
      <c r="L381" s="315"/>
      <c r="M381" s="508">
        <f t="shared" si="244"/>
        <v>1845.4784500000001</v>
      </c>
      <c r="N381" s="307">
        <f t="shared" si="245"/>
        <v>0</v>
      </c>
      <c r="O381" s="313">
        <f t="shared" si="246"/>
        <v>120677681.32395001</v>
      </c>
      <c r="P381" s="313">
        <f t="shared" si="247"/>
        <v>0</v>
      </c>
      <c r="Q381" s="313">
        <f t="shared" ref="Q381:Q386" si="252">+O381-P381</f>
        <v>120677681.32395001</v>
      </c>
      <c r="R381" s="321"/>
      <c r="S381" s="303">
        <f>+'MEMORIAS DE CANTIDADES'!L2753</f>
        <v>2600</v>
      </c>
      <c r="T381" s="304">
        <f t="shared" si="249"/>
        <v>65391</v>
      </c>
      <c r="U381" s="528">
        <f t="shared" si="251"/>
        <v>170016600</v>
      </c>
      <c r="V381" s="149"/>
      <c r="W381" s="146"/>
      <c r="X381" s="146"/>
      <c r="Y381" s="146"/>
    </row>
    <row r="382" spans="2:25" ht="39.75" customHeight="1">
      <c r="B382" s="80"/>
      <c r="C382" s="429">
        <v>1.4</v>
      </c>
      <c r="D382" s="423"/>
      <c r="E382" s="423"/>
      <c r="F382" s="423"/>
      <c r="G382" s="432" t="s">
        <v>26</v>
      </c>
      <c r="H382" s="85" t="s">
        <v>21</v>
      </c>
      <c r="I382" s="87">
        <v>731</v>
      </c>
      <c r="J382" s="88">
        <v>17629</v>
      </c>
      <c r="K382" s="140">
        <f t="shared" si="243"/>
        <v>12886799</v>
      </c>
      <c r="L382" s="315"/>
      <c r="M382" s="508">
        <f t="shared" si="244"/>
        <v>320</v>
      </c>
      <c r="N382" s="307">
        <f t="shared" si="245"/>
        <v>0</v>
      </c>
      <c r="O382" s="313">
        <f t="shared" si="246"/>
        <v>5641280</v>
      </c>
      <c r="P382" s="313">
        <f t="shared" si="247"/>
        <v>0</v>
      </c>
      <c r="Q382" s="313">
        <f t="shared" si="252"/>
        <v>5641280</v>
      </c>
      <c r="R382" s="321"/>
      <c r="S382" s="303">
        <f>+'MEMORIAS DE CANTIDADES'!L2762</f>
        <v>1051</v>
      </c>
      <c r="T382" s="304">
        <f t="shared" si="249"/>
        <v>17629</v>
      </c>
      <c r="U382" s="528">
        <f t="shared" si="251"/>
        <v>18528079</v>
      </c>
      <c r="V382" s="150"/>
      <c r="W382" s="146"/>
      <c r="X382" s="146"/>
      <c r="Y382" s="146"/>
    </row>
    <row r="383" spans="2:25" ht="30" customHeight="1">
      <c r="B383" s="80"/>
      <c r="C383" s="429">
        <v>1.5</v>
      </c>
      <c r="D383" s="423"/>
      <c r="E383" s="423"/>
      <c r="F383" s="423"/>
      <c r="G383" s="432" t="s">
        <v>27</v>
      </c>
      <c r="H383" s="85" t="s">
        <v>21</v>
      </c>
      <c r="I383" s="87">
        <v>4</v>
      </c>
      <c r="J383" s="88">
        <v>34053</v>
      </c>
      <c r="K383" s="140">
        <f t="shared" si="243"/>
        <v>136212</v>
      </c>
      <c r="L383" s="315"/>
      <c r="M383" s="508">
        <f t="shared" si="244"/>
        <v>0</v>
      </c>
      <c r="N383" s="307">
        <f t="shared" si="245"/>
        <v>0</v>
      </c>
      <c r="O383" s="313">
        <f t="shared" si="246"/>
        <v>0</v>
      </c>
      <c r="P383" s="313">
        <f t="shared" si="247"/>
        <v>0</v>
      </c>
      <c r="Q383" s="313">
        <f t="shared" si="252"/>
        <v>0</v>
      </c>
      <c r="R383" s="321"/>
      <c r="S383" s="303">
        <f>+'MEMORIAS DE CANTIDADES'!L2774</f>
        <v>4</v>
      </c>
      <c r="T383" s="304">
        <f t="shared" si="249"/>
        <v>34053</v>
      </c>
      <c r="U383" s="528">
        <f t="shared" si="251"/>
        <v>136212</v>
      </c>
    </row>
    <row r="384" spans="2:25" ht="30" customHeight="1">
      <c r="B384" s="80"/>
      <c r="C384" s="429">
        <v>1.6</v>
      </c>
      <c r="D384" s="423"/>
      <c r="E384" s="423"/>
      <c r="F384" s="423"/>
      <c r="G384" s="432" t="s">
        <v>28</v>
      </c>
      <c r="H384" s="85" t="s">
        <v>29</v>
      </c>
      <c r="I384" s="87">
        <v>40</v>
      </c>
      <c r="J384" s="88">
        <v>428044</v>
      </c>
      <c r="K384" s="140">
        <f t="shared" si="243"/>
        <v>17121760</v>
      </c>
      <c r="L384" s="315"/>
      <c r="M384" s="508">
        <f t="shared" si="244"/>
        <v>10</v>
      </c>
      <c r="N384" s="307">
        <f t="shared" si="245"/>
        <v>0</v>
      </c>
      <c r="O384" s="313">
        <f t="shared" si="246"/>
        <v>4280440</v>
      </c>
      <c r="P384" s="313">
        <f t="shared" si="247"/>
        <v>0</v>
      </c>
      <c r="Q384" s="313">
        <f t="shared" si="252"/>
        <v>4280440</v>
      </c>
      <c r="R384" s="321"/>
      <c r="S384" s="303">
        <f>+'MEMORIAS DE CANTIDADES'!L2787</f>
        <v>50</v>
      </c>
      <c r="T384" s="304">
        <f t="shared" si="249"/>
        <v>428044</v>
      </c>
      <c r="U384" s="528">
        <f t="shared" si="251"/>
        <v>21402200</v>
      </c>
    </row>
    <row r="385" spans="2:24" ht="30" customHeight="1">
      <c r="B385" s="80"/>
      <c r="C385" s="429">
        <v>1.7</v>
      </c>
      <c r="D385" s="423"/>
      <c r="E385" s="423"/>
      <c r="F385" s="423"/>
      <c r="G385" s="432" t="s">
        <v>30</v>
      </c>
      <c r="H385" s="85" t="s">
        <v>25</v>
      </c>
      <c r="I385" s="87">
        <v>152.88000000000002</v>
      </c>
      <c r="J385" s="88">
        <v>292796</v>
      </c>
      <c r="K385" s="140">
        <f t="shared" si="243"/>
        <v>44762652.480000004</v>
      </c>
      <c r="L385" s="315"/>
      <c r="M385" s="508">
        <f t="shared" si="244"/>
        <v>172.9</v>
      </c>
      <c r="N385" s="307">
        <f t="shared" si="245"/>
        <v>0</v>
      </c>
      <c r="O385" s="313">
        <f t="shared" si="246"/>
        <v>50624428.399999999</v>
      </c>
      <c r="P385" s="313">
        <f t="shared" si="247"/>
        <v>0</v>
      </c>
      <c r="Q385" s="313">
        <f t="shared" si="252"/>
        <v>50624428.399999999</v>
      </c>
      <c r="R385" s="321"/>
      <c r="S385" s="303">
        <f>+'MEMORIAS DE CANTIDADES'!L2799</f>
        <v>325.78000000000003</v>
      </c>
      <c r="T385" s="304">
        <f t="shared" si="249"/>
        <v>292796</v>
      </c>
      <c r="U385" s="528">
        <f t="shared" si="251"/>
        <v>95387080.88000001</v>
      </c>
    </row>
    <row r="386" spans="2:24" ht="46.5" customHeight="1">
      <c r="B386" s="80"/>
      <c r="C386" s="84">
        <v>1.8</v>
      </c>
      <c r="D386" s="85"/>
      <c r="E386" s="85"/>
      <c r="F386" s="85"/>
      <c r="G386" s="86" t="s">
        <v>303</v>
      </c>
      <c r="H386" s="85" t="s">
        <v>25</v>
      </c>
      <c r="I386" s="87">
        <v>304.04000000000002</v>
      </c>
      <c r="J386" s="88">
        <v>265585</v>
      </c>
      <c r="K386" s="140">
        <f t="shared" si="243"/>
        <v>80748463.400000006</v>
      </c>
      <c r="L386" s="315"/>
      <c r="M386" s="508">
        <f t="shared" si="244"/>
        <v>51.08499999999998</v>
      </c>
      <c r="N386" s="307">
        <f t="shared" si="245"/>
        <v>0</v>
      </c>
      <c r="O386" s="313">
        <f t="shared" si="246"/>
        <v>13567409.724999994</v>
      </c>
      <c r="P386" s="313">
        <f t="shared" si="247"/>
        <v>0</v>
      </c>
      <c r="Q386" s="313">
        <f t="shared" si="252"/>
        <v>13567409.724999994</v>
      </c>
      <c r="R386" s="321"/>
      <c r="S386" s="303">
        <f>+'MEMORIAS DE CANTIDADES'!L2812</f>
        <v>355.125</v>
      </c>
      <c r="T386" s="304">
        <f t="shared" si="249"/>
        <v>265585</v>
      </c>
      <c r="U386" s="528">
        <f t="shared" si="251"/>
        <v>94315873.125</v>
      </c>
      <c r="V386" s="147"/>
    </row>
    <row r="387" spans="2:24" ht="30" customHeight="1" thickBot="1">
      <c r="B387" s="80"/>
      <c r="C387" s="259" t="s">
        <v>8</v>
      </c>
      <c r="D387" s="590"/>
      <c r="E387" s="590"/>
      <c r="F387" s="590"/>
      <c r="G387" s="591"/>
      <c r="H387" s="590"/>
      <c r="I387" s="507"/>
      <c r="J387" s="104"/>
      <c r="K387" s="142">
        <f>SUM(K379:K386)</f>
        <v>276531470.55605006</v>
      </c>
      <c r="L387" s="325"/>
      <c r="M387" s="319"/>
      <c r="N387" s="319"/>
      <c r="O387" s="308">
        <f t="shared" ref="O387:P387" si="253">SUM(O379:O386)</f>
        <v>194791239.44894999</v>
      </c>
      <c r="P387" s="308">
        <f t="shared" si="253"/>
        <v>29817165</v>
      </c>
      <c r="Q387" s="308">
        <f>SUM(Q379:Q386)</f>
        <v>164974074.44894999</v>
      </c>
      <c r="R387" s="327"/>
      <c r="S387" s="323"/>
      <c r="T387" s="324"/>
      <c r="U387" s="506">
        <f>SUM(U379:U386)</f>
        <v>441505545.005</v>
      </c>
      <c r="V387" s="112"/>
    </row>
    <row r="388" spans="2:24" ht="30" customHeight="1" thickBot="1">
      <c r="B388" s="80"/>
      <c r="C388" s="886" t="s">
        <v>36</v>
      </c>
      <c r="D388" s="887"/>
      <c r="E388" s="887"/>
      <c r="F388" s="887"/>
      <c r="G388" s="887"/>
      <c r="H388" s="887"/>
      <c r="I388" s="887"/>
      <c r="J388" s="887"/>
      <c r="K388" s="887"/>
      <c r="L388" s="920"/>
      <c r="M388" s="887"/>
      <c r="N388" s="887"/>
      <c r="O388" s="920"/>
      <c r="P388" s="920"/>
      <c r="Q388" s="920"/>
      <c r="R388" s="589"/>
      <c r="S388" s="589"/>
      <c r="T388" s="589"/>
      <c r="U388" s="500"/>
    </row>
    <row r="389" spans="2:24" ht="30" customHeight="1">
      <c r="B389" s="80"/>
      <c r="C389" s="429">
        <v>2.1</v>
      </c>
      <c r="D389" s="430"/>
      <c r="E389" s="430"/>
      <c r="F389" s="430"/>
      <c r="G389" s="431" t="s">
        <v>37</v>
      </c>
      <c r="H389" s="247" t="s">
        <v>38</v>
      </c>
      <c r="I389" s="249">
        <v>106594.70224999997</v>
      </c>
      <c r="J389" s="246">
        <v>10670</v>
      </c>
      <c r="K389" s="89">
        <f>I389*J389</f>
        <v>1137365473.0074997</v>
      </c>
      <c r="L389" s="287"/>
      <c r="M389" s="307">
        <f>+IF(I389&lt;S389,S389-I389,0)</f>
        <v>0</v>
      </c>
      <c r="N389" s="307">
        <f>+IF(I389&gt;S389,-S389+I389,0)</f>
        <v>391.62948999996297</v>
      </c>
      <c r="O389" s="313">
        <f>+M389*J389</f>
        <v>0</v>
      </c>
      <c r="P389" s="313">
        <f>+N389*J389</f>
        <v>4178686.6582996049</v>
      </c>
      <c r="Q389" s="511">
        <f t="shared" ref="Q389" si="254">+O389-P389</f>
        <v>-4178686.6582996049</v>
      </c>
      <c r="R389" s="326"/>
      <c r="S389" s="512">
        <f>+'MEMORIAS DE CANTIDADES'!L2823</f>
        <v>106203.07276000001</v>
      </c>
      <c r="T389" s="304">
        <f>+J389</f>
        <v>10670</v>
      </c>
      <c r="U389" s="501">
        <f t="shared" ref="U389" si="255">+S389*T389</f>
        <v>1133186786.3492</v>
      </c>
      <c r="W389" s="112"/>
      <c r="X389" s="112"/>
    </row>
    <row r="390" spans="2:24" ht="40.15" customHeight="1">
      <c r="B390" s="80"/>
      <c r="C390" s="429">
        <v>2.2000000000000002</v>
      </c>
      <c r="D390" s="423"/>
      <c r="E390" s="423"/>
      <c r="F390" s="423"/>
      <c r="G390" s="432" t="s">
        <v>39</v>
      </c>
      <c r="H390" s="85" t="s">
        <v>38</v>
      </c>
      <c r="I390" s="87">
        <v>35727.75499999999</v>
      </c>
      <c r="J390" s="88">
        <v>17175</v>
      </c>
      <c r="K390" s="89">
        <f>I390*J390</f>
        <v>613624192.12499988</v>
      </c>
      <c r="L390" s="529"/>
      <c r="M390" s="307">
        <f>+IF(I390&lt;S390,S390-I390,0)</f>
        <v>0</v>
      </c>
      <c r="N390" s="307">
        <f>+IF(I390&gt;S390,-S390+I390,0)</f>
        <v>35727.75499999999</v>
      </c>
      <c r="O390" s="313">
        <f>+M390*J390</f>
        <v>0</v>
      </c>
      <c r="P390" s="313">
        <f>+N390*J390</f>
        <v>613624192.12499988</v>
      </c>
      <c r="Q390" s="511">
        <f t="shared" ref="Q390:Q393" si="256">+O390-P390</f>
        <v>-613624192.12499988</v>
      </c>
      <c r="R390" s="321"/>
      <c r="S390" s="512">
        <v>0</v>
      </c>
      <c r="T390" s="304">
        <f>+J390</f>
        <v>17175</v>
      </c>
      <c r="U390" s="501">
        <f t="shared" ref="U390:U391" si="257">+S390*T390</f>
        <v>0</v>
      </c>
    </row>
    <row r="391" spans="2:24" ht="39.6" customHeight="1">
      <c r="B391" s="80"/>
      <c r="C391" s="84">
        <v>2.2999999999999998</v>
      </c>
      <c r="D391" s="95"/>
      <c r="E391" s="95"/>
      <c r="F391" s="95"/>
      <c r="G391" s="100" t="s">
        <v>40</v>
      </c>
      <c r="H391" s="95" t="s">
        <v>38</v>
      </c>
      <c r="I391" s="87">
        <v>64279.46875</v>
      </c>
      <c r="J391" s="88">
        <v>18662</v>
      </c>
      <c r="K391" s="89">
        <f>I391*J391</f>
        <v>1199583445.8125</v>
      </c>
      <c r="L391" s="529"/>
      <c r="M391" s="307">
        <f>+IF(I391&lt;S391,S391-I391,0)</f>
        <v>0</v>
      </c>
      <c r="N391" s="307">
        <f>+IF(I391&gt;S391,-S391+I391,0)</f>
        <v>43611.46875</v>
      </c>
      <c r="O391" s="313">
        <f>+M391*J391</f>
        <v>0</v>
      </c>
      <c r="P391" s="313">
        <f>+N391*J391</f>
        <v>813877229.8125</v>
      </c>
      <c r="Q391" s="511">
        <f t="shared" si="256"/>
        <v>-813877229.8125</v>
      </c>
      <c r="R391" s="321"/>
      <c r="S391" s="512">
        <v>20668</v>
      </c>
      <c r="T391" s="304">
        <f>+J391</f>
        <v>18662</v>
      </c>
      <c r="U391" s="501">
        <f t="shared" si="257"/>
        <v>385706216</v>
      </c>
    </row>
    <row r="392" spans="2:24" ht="39.6" customHeight="1">
      <c r="B392" s="80"/>
      <c r="C392" s="84">
        <v>2.4</v>
      </c>
      <c r="D392" s="95"/>
      <c r="E392" s="95"/>
      <c r="F392" s="95"/>
      <c r="G392" s="100" t="s">
        <v>41</v>
      </c>
      <c r="H392" s="95" t="s">
        <v>38</v>
      </c>
      <c r="I392" s="87">
        <v>1300</v>
      </c>
      <c r="J392" s="88">
        <v>17175</v>
      </c>
      <c r="K392" s="89">
        <f>I392*J392</f>
        <v>22327500</v>
      </c>
      <c r="L392" s="529"/>
      <c r="M392" s="307">
        <f>+IF(I392&lt;S392,S392-I392,0)</f>
        <v>0</v>
      </c>
      <c r="N392" s="307">
        <f>+IF(I392&gt;S392,-S392+I392,0)</f>
        <v>1300</v>
      </c>
      <c r="O392" s="313">
        <f>+M392*J392</f>
        <v>0</v>
      </c>
      <c r="P392" s="313">
        <f>+N392*J392</f>
        <v>22327500</v>
      </c>
      <c r="Q392" s="511">
        <f t="shared" si="256"/>
        <v>-22327500</v>
      </c>
      <c r="R392" s="321"/>
      <c r="S392" s="512">
        <v>0</v>
      </c>
      <c r="T392" s="304">
        <f>+J392</f>
        <v>17175</v>
      </c>
      <c r="U392" s="501">
        <f>+S392*T392</f>
        <v>0</v>
      </c>
    </row>
    <row r="393" spans="2:24" ht="49.5" customHeight="1">
      <c r="B393" s="80"/>
      <c r="C393" s="84">
        <v>2.5</v>
      </c>
      <c r="D393" s="85"/>
      <c r="E393" s="85"/>
      <c r="F393" s="85"/>
      <c r="G393" s="86" t="s">
        <v>304</v>
      </c>
      <c r="H393" s="85" t="s">
        <v>38</v>
      </c>
      <c r="I393" s="87">
        <v>156108.21900000001</v>
      </c>
      <c r="J393" s="88">
        <v>10670</v>
      </c>
      <c r="K393" s="89">
        <f>I393*J393</f>
        <v>1665674696.73</v>
      </c>
      <c r="L393" s="288"/>
      <c r="M393" s="307">
        <f>+IF(I393&lt;S393,S393-I393,0)</f>
        <v>11648.258999999991</v>
      </c>
      <c r="N393" s="307">
        <f>+IF(I393&gt;S393,-S393+I393,0)</f>
        <v>0</v>
      </c>
      <c r="O393" s="313">
        <f>+M393*J393</f>
        <v>124286923.5299999</v>
      </c>
      <c r="P393" s="313">
        <f>+N393*J393</f>
        <v>0</v>
      </c>
      <c r="Q393" s="511">
        <f t="shared" si="256"/>
        <v>124286923.5299999</v>
      </c>
      <c r="R393" s="321"/>
      <c r="S393" s="512">
        <f>+'MEMORIAS DE CANTIDADES'!L3094</f>
        <v>167756.478</v>
      </c>
      <c r="T393" s="304">
        <f>+J393</f>
        <v>10670</v>
      </c>
      <c r="U393" s="501">
        <f>+S393*T393</f>
        <v>1789961620.26</v>
      </c>
      <c r="V393" s="148"/>
    </row>
    <row r="394" spans="2:24" ht="30" customHeight="1" thickBot="1">
      <c r="B394" s="80"/>
      <c r="C394" s="259" t="s">
        <v>8</v>
      </c>
      <c r="I394" s="507"/>
      <c r="K394" s="105">
        <f>SUM(K389:K393)</f>
        <v>4638575307.6749992</v>
      </c>
      <c r="L394" s="290"/>
      <c r="M394" s="503"/>
      <c r="N394" s="319"/>
      <c r="O394" s="308">
        <f t="shared" ref="O394" si="258">SUM(O389:O393)</f>
        <v>124286923.5299999</v>
      </c>
      <c r="P394" s="308">
        <f>SUM(P389:P393)</f>
        <v>1454007608.5957994</v>
      </c>
      <c r="Q394" s="530">
        <f>SUM(Q389:Q393)</f>
        <v>-1329720685.0657995</v>
      </c>
      <c r="R394" s="327"/>
      <c r="S394" s="516"/>
      <c r="T394" s="309"/>
      <c r="U394" s="506">
        <f>SUM(U389:U393)</f>
        <v>3308854622.6092</v>
      </c>
      <c r="V394" s="112"/>
    </row>
    <row r="395" spans="2:24" ht="30" customHeight="1" thickBot="1">
      <c r="B395" s="80"/>
      <c r="C395" s="886" t="s">
        <v>43</v>
      </c>
      <c r="D395" s="887"/>
      <c r="E395" s="887"/>
      <c r="F395" s="887"/>
      <c r="G395" s="887"/>
      <c r="H395" s="887"/>
      <c r="I395" s="887"/>
      <c r="J395" s="887"/>
      <c r="K395" s="887"/>
      <c r="L395" s="888"/>
      <c r="M395" s="887"/>
      <c r="N395" s="887"/>
      <c r="O395" s="920"/>
      <c r="P395" s="920"/>
      <c r="Q395" s="920"/>
      <c r="R395" s="589"/>
      <c r="S395" s="589"/>
      <c r="T395" s="589"/>
      <c r="U395" s="500"/>
    </row>
    <row r="396" spans="2:24" ht="30" customHeight="1">
      <c r="B396" s="80"/>
      <c r="C396" s="84">
        <v>3.1</v>
      </c>
      <c r="D396" s="251"/>
      <c r="E396" s="251"/>
      <c r="F396" s="251"/>
      <c r="G396" s="252" t="s">
        <v>44</v>
      </c>
      <c r="H396" s="251" t="s">
        <v>25</v>
      </c>
      <c r="I396" s="249">
        <v>3849.1698000000001</v>
      </c>
      <c r="J396" s="246">
        <v>83705</v>
      </c>
      <c r="K396" s="140">
        <f t="shared" ref="K396:K406" si="259">I396*J396</f>
        <v>322194758.10900003</v>
      </c>
      <c r="L396" s="314"/>
      <c r="M396" s="508">
        <f t="shared" ref="M396:M406" si="260">+IF(I396&lt;S396,S396-I396,0)</f>
        <v>7037.2078000000001</v>
      </c>
      <c r="N396" s="307">
        <f t="shared" ref="N396:N406" si="261">+IF(I396&gt;S396,-S396+I396,0)</f>
        <v>0</v>
      </c>
      <c r="O396" s="313">
        <f t="shared" ref="O396:O406" si="262">+M396*J396</f>
        <v>589049478.89900005</v>
      </c>
      <c r="P396" s="313">
        <f t="shared" ref="P396:P406" si="263">+N396*J396</f>
        <v>0</v>
      </c>
      <c r="Q396" s="313">
        <f t="shared" ref="Q396" si="264">+O396-P396</f>
        <v>589049478.89900005</v>
      </c>
      <c r="R396" s="244"/>
      <c r="S396" s="303">
        <f>+'MEMORIAS DE CANTIDADES'!L3126</f>
        <v>10886.3776</v>
      </c>
      <c r="T396" s="304">
        <f t="shared" ref="T396:T406" si="265">+J396</f>
        <v>83705</v>
      </c>
      <c r="U396" s="501">
        <f t="shared" ref="U396" si="266">+S396*T396</f>
        <v>911244237.00800002</v>
      </c>
    </row>
    <row r="397" spans="2:24" ht="30" customHeight="1">
      <c r="B397" s="80"/>
      <c r="C397" s="84">
        <v>3.2</v>
      </c>
      <c r="D397" s="99"/>
      <c r="E397" s="99"/>
      <c r="F397" s="99"/>
      <c r="G397" s="98" t="s">
        <v>45</v>
      </c>
      <c r="H397" s="97" t="s">
        <v>25</v>
      </c>
      <c r="I397" s="87">
        <v>746.46949999999981</v>
      </c>
      <c r="J397" s="88">
        <v>463039</v>
      </c>
      <c r="K397" s="140">
        <f t="shared" si="259"/>
        <v>345644490.81049991</v>
      </c>
      <c r="L397" s="315"/>
      <c r="M397" s="508">
        <f t="shared" si="260"/>
        <v>1459.8915000000015</v>
      </c>
      <c r="N397" s="307">
        <f t="shared" si="261"/>
        <v>0</v>
      </c>
      <c r="O397" s="313">
        <f t="shared" si="262"/>
        <v>675986700.26850069</v>
      </c>
      <c r="P397" s="313">
        <f t="shared" si="263"/>
        <v>0</v>
      </c>
      <c r="Q397" s="313">
        <f t="shared" ref="Q397:Q406" si="267">+O397-P397</f>
        <v>675986700.26850069</v>
      </c>
      <c r="R397" s="244"/>
      <c r="S397" s="303">
        <f>+'MEMORIAS DE CANTIDADES'!L3239</f>
        <v>2206.3610000000012</v>
      </c>
      <c r="T397" s="304">
        <f t="shared" si="265"/>
        <v>463039</v>
      </c>
      <c r="U397" s="501">
        <f t="shared" ref="U397:U406" si="268">+S397*T397</f>
        <v>1021631191.0790006</v>
      </c>
    </row>
    <row r="398" spans="2:24" ht="30" customHeight="1">
      <c r="B398" s="80"/>
      <c r="C398" s="84">
        <v>3.3</v>
      </c>
      <c r="D398" s="97"/>
      <c r="E398" s="97"/>
      <c r="F398" s="97"/>
      <c r="G398" s="98" t="s">
        <v>46</v>
      </c>
      <c r="H398" s="97" t="s">
        <v>21</v>
      </c>
      <c r="I398" s="87">
        <v>485.666</v>
      </c>
      <c r="J398" s="88">
        <v>41144</v>
      </c>
      <c r="K398" s="140">
        <f t="shared" si="259"/>
        <v>19982241.903999999</v>
      </c>
      <c r="L398" s="315"/>
      <c r="M398" s="508">
        <f t="shared" si="260"/>
        <v>964.31750000000034</v>
      </c>
      <c r="N398" s="307">
        <f t="shared" si="261"/>
        <v>0</v>
      </c>
      <c r="O398" s="313">
        <f t="shared" si="262"/>
        <v>39675879.220000014</v>
      </c>
      <c r="P398" s="313">
        <f t="shared" si="263"/>
        <v>0</v>
      </c>
      <c r="Q398" s="313">
        <f t="shared" si="267"/>
        <v>39675879.220000014</v>
      </c>
      <c r="R398" s="244"/>
      <c r="S398" s="303">
        <f>+'MEMORIAS DE CANTIDADES'!L3309</f>
        <v>1449.9835000000003</v>
      </c>
      <c r="T398" s="304">
        <f t="shared" si="265"/>
        <v>41144</v>
      </c>
      <c r="U398" s="501">
        <f t="shared" si="268"/>
        <v>59658121.124000013</v>
      </c>
    </row>
    <row r="399" spans="2:24" ht="45">
      <c r="B399" s="80"/>
      <c r="C399" s="84">
        <v>3.4</v>
      </c>
      <c r="D399" s="95"/>
      <c r="E399" s="95"/>
      <c r="F399" s="95"/>
      <c r="G399" s="100" t="s">
        <v>47</v>
      </c>
      <c r="H399" s="95" t="s">
        <v>305</v>
      </c>
      <c r="I399" s="87">
        <v>485.666</v>
      </c>
      <c r="J399" s="88">
        <v>108681</v>
      </c>
      <c r="K399" s="140">
        <f t="shared" si="259"/>
        <v>52782666.545999996</v>
      </c>
      <c r="L399" s="315"/>
      <c r="M399" s="508">
        <f t="shared" si="260"/>
        <v>0</v>
      </c>
      <c r="N399" s="307">
        <f t="shared" si="261"/>
        <v>219.99171999999999</v>
      </c>
      <c r="O399" s="313">
        <f t="shared" si="262"/>
        <v>0</v>
      </c>
      <c r="P399" s="313">
        <f t="shared" si="263"/>
        <v>23908920.121319998</v>
      </c>
      <c r="Q399" s="313">
        <f t="shared" si="267"/>
        <v>-23908920.121319998</v>
      </c>
      <c r="R399" s="244"/>
      <c r="S399" s="303">
        <f>+'MEMORIAS DE CANTIDADES'!L3396</f>
        <v>265.67428000000001</v>
      </c>
      <c r="T399" s="304">
        <f t="shared" si="265"/>
        <v>108681</v>
      </c>
      <c r="U399" s="501">
        <f t="shared" si="268"/>
        <v>28873746.424680002</v>
      </c>
    </row>
    <row r="400" spans="2:24" ht="45">
      <c r="B400" s="80"/>
      <c r="C400" s="84">
        <v>3.5</v>
      </c>
      <c r="D400" s="97"/>
      <c r="E400" s="97"/>
      <c r="F400" s="97"/>
      <c r="G400" s="98" t="s">
        <v>48</v>
      </c>
      <c r="H400" s="97" t="s">
        <v>305</v>
      </c>
      <c r="I400" s="87">
        <v>420.48359999999991</v>
      </c>
      <c r="J400" s="101">
        <v>1082757</v>
      </c>
      <c r="K400" s="140">
        <f t="shared" si="259"/>
        <v>455281561.28519988</v>
      </c>
      <c r="L400" s="315"/>
      <c r="M400" s="508">
        <f t="shared" si="260"/>
        <v>0</v>
      </c>
      <c r="N400" s="307">
        <f t="shared" si="261"/>
        <v>420.48359999999991</v>
      </c>
      <c r="O400" s="313">
        <f t="shared" si="262"/>
        <v>0</v>
      </c>
      <c r="P400" s="313">
        <f t="shared" si="263"/>
        <v>455281561.28519988</v>
      </c>
      <c r="Q400" s="313">
        <f t="shared" si="267"/>
        <v>-455281561.28519988</v>
      </c>
      <c r="R400" s="244"/>
      <c r="S400" s="303">
        <v>0</v>
      </c>
      <c r="T400" s="304">
        <f t="shared" si="265"/>
        <v>1082757</v>
      </c>
      <c r="U400" s="501">
        <f t="shared" si="268"/>
        <v>0</v>
      </c>
    </row>
    <row r="401" spans="2:23" ht="30" customHeight="1">
      <c r="B401" s="80"/>
      <c r="C401" s="84">
        <v>3.6</v>
      </c>
      <c r="D401" s="95"/>
      <c r="E401" s="95"/>
      <c r="F401" s="95"/>
      <c r="G401" s="100" t="s">
        <v>49</v>
      </c>
      <c r="H401" s="95" t="s">
        <v>305</v>
      </c>
      <c r="I401" s="87">
        <v>103.75275000000001</v>
      </c>
      <c r="J401" s="101">
        <v>1547998</v>
      </c>
      <c r="K401" s="140">
        <f t="shared" si="259"/>
        <v>160609049.49450001</v>
      </c>
      <c r="L401" s="315"/>
      <c r="M401" s="508">
        <f t="shared" si="260"/>
        <v>0</v>
      </c>
      <c r="N401" s="307">
        <f t="shared" si="261"/>
        <v>51.64950000000001</v>
      </c>
      <c r="O401" s="313">
        <f t="shared" si="262"/>
        <v>0</v>
      </c>
      <c r="P401" s="313">
        <f t="shared" si="263"/>
        <v>79953322.70100002</v>
      </c>
      <c r="Q401" s="313">
        <f t="shared" si="267"/>
        <v>-79953322.70100002</v>
      </c>
      <c r="R401" s="244"/>
      <c r="S401" s="303">
        <f>+'MEMORIAS DE CANTIDADES'!L3571</f>
        <v>52.103249999999996</v>
      </c>
      <c r="T401" s="304">
        <f t="shared" si="265"/>
        <v>1547998</v>
      </c>
      <c r="U401" s="501">
        <f t="shared" si="268"/>
        <v>80655726.793499991</v>
      </c>
    </row>
    <row r="402" spans="2:23" ht="30" customHeight="1">
      <c r="B402" s="80"/>
      <c r="C402" s="84">
        <v>3.7</v>
      </c>
      <c r="D402" s="97"/>
      <c r="E402" s="85"/>
      <c r="F402" s="97"/>
      <c r="G402" s="98" t="s">
        <v>50</v>
      </c>
      <c r="H402" s="97" t="s">
        <v>305</v>
      </c>
      <c r="I402" s="87">
        <v>329.62883999999997</v>
      </c>
      <c r="J402" s="88">
        <v>1429563</v>
      </c>
      <c r="K402" s="140">
        <f t="shared" si="259"/>
        <v>471225193.39691997</v>
      </c>
      <c r="L402" s="315"/>
      <c r="M402" s="508">
        <f t="shared" si="260"/>
        <v>0</v>
      </c>
      <c r="N402" s="307">
        <f t="shared" si="261"/>
        <v>88.538920000000019</v>
      </c>
      <c r="O402" s="313">
        <f t="shared" si="262"/>
        <v>0</v>
      </c>
      <c r="P402" s="313">
        <f t="shared" si="263"/>
        <v>126571964.09196003</v>
      </c>
      <c r="Q402" s="313">
        <f t="shared" si="267"/>
        <v>-126571964.09196003</v>
      </c>
      <c r="R402" s="244"/>
      <c r="S402" s="303">
        <f>+'MEMORIAS DE CANTIDADES'!L3597</f>
        <v>241.08991999999995</v>
      </c>
      <c r="T402" s="304">
        <f t="shared" si="265"/>
        <v>1429563</v>
      </c>
      <c r="U402" s="501">
        <f t="shared" si="268"/>
        <v>344653229.30495995</v>
      </c>
    </row>
    <row r="403" spans="2:23" ht="30" customHeight="1">
      <c r="B403" s="80"/>
      <c r="C403" s="84">
        <v>3.8</v>
      </c>
      <c r="D403" s="97"/>
      <c r="E403" s="85"/>
      <c r="F403" s="97"/>
      <c r="G403" s="98" t="s">
        <v>51</v>
      </c>
      <c r="H403" s="97" t="s">
        <v>21</v>
      </c>
      <c r="I403" s="87">
        <v>644.64</v>
      </c>
      <c r="J403" s="88">
        <v>364929</v>
      </c>
      <c r="K403" s="140">
        <f t="shared" si="259"/>
        <v>235247830.56</v>
      </c>
      <c r="L403" s="315"/>
      <c r="M403" s="508">
        <f t="shared" si="260"/>
        <v>0</v>
      </c>
      <c r="N403" s="307">
        <f t="shared" si="261"/>
        <v>644.64</v>
      </c>
      <c r="O403" s="313">
        <f t="shared" si="262"/>
        <v>0</v>
      </c>
      <c r="P403" s="313">
        <f t="shared" si="263"/>
        <v>235247830.56</v>
      </c>
      <c r="Q403" s="313">
        <f t="shared" si="267"/>
        <v>-235247830.56</v>
      </c>
      <c r="R403" s="244"/>
      <c r="S403" s="303">
        <f>+'MEMORIAS DE CANTIDADES'!L3666</f>
        <v>0</v>
      </c>
      <c r="T403" s="304">
        <f t="shared" si="265"/>
        <v>364929</v>
      </c>
      <c r="U403" s="501">
        <f t="shared" si="268"/>
        <v>0</v>
      </c>
    </row>
    <row r="404" spans="2:23" ht="30" customHeight="1">
      <c r="B404" s="80"/>
      <c r="C404" s="84">
        <v>3.9</v>
      </c>
      <c r="D404" s="97"/>
      <c r="E404" s="85"/>
      <c r="F404" s="97"/>
      <c r="G404" s="98" t="s">
        <v>53</v>
      </c>
      <c r="H404" s="97" t="s">
        <v>21</v>
      </c>
      <c r="I404" s="87">
        <v>689.05200000000002</v>
      </c>
      <c r="J404" s="88">
        <v>184699</v>
      </c>
      <c r="K404" s="140">
        <f t="shared" si="259"/>
        <v>127267215.348</v>
      </c>
      <c r="L404" s="315"/>
      <c r="M404" s="508">
        <f t="shared" si="260"/>
        <v>0</v>
      </c>
      <c r="N404" s="307">
        <f t="shared" si="261"/>
        <v>585.64</v>
      </c>
      <c r="O404" s="313">
        <f t="shared" si="262"/>
        <v>0</v>
      </c>
      <c r="P404" s="313">
        <f t="shared" si="263"/>
        <v>108167122.36</v>
      </c>
      <c r="Q404" s="313">
        <f t="shared" si="267"/>
        <v>-108167122.36</v>
      </c>
      <c r="R404" s="244"/>
      <c r="S404" s="303">
        <f>+'MEMORIAS DE CANTIDADES'!L3681</f>
        <v>103.41200000000001</v>
      </c>
      <c r="T404" s="304">
        <f t="shared" si="265"/>
        <v>184699</v>
      </c>
      <c r="U404" s="501">
        <f t="shared" si="268"/>
        <v>19100092.988000002</v>
      </c>
    </row>
    <row r="405" spans="2:23" ht="30" customHeight="1">
      <c r="B405" s="80"/>
      <c r="C405" s="143" t="s">
        <v>583</v>
      </c>
      <c r="D405" s="97"/>
      <c r="E405" s="85"/>
      <c r="F405" s="97"/>
      <c r="G405" s="98" t="s">
        <v>54</v>
      </c>
      <c r="H405" s="97" t="s">
        <v>21</v>
      </c>
      <c r="I405" s="87">
        <v>735.70400000000006</v>
      </c>
      <c r="J405" s="88">
        <v>364929</v>
      </c>
      <c r="K405" s="140">
        <f t="shared" si="259"/>
        <v>268479725.01600003</v>
      </c>
      <c r="L405" s="315"/>
      <c r="M405" s="508">
        <f t="shared" si="260"/>
        <v>414.09000000000003</v>
      </c>
      <c r="N405" s="307">
        <f t="shared" si="261"/>
        <v>0</v>
      </c>
      <c r="O405" s="313">
        <f t="shared" si="262"/>
        <v>151113449.61000001</v>
      </c>
      <c r="P405" s="313">
        <f t="shared" si="263"/>
        <v>0</v>
      </c>
      <c r="Q405" s="313">
        <f t="shared" si="267"/>
        <v>151113449.61000001</v>
      </c>
      <c r="R405" s="244"/>
      <c r="S405" s="303">
        <f>+'MEMORIAS DE CANTIDADES'!L3696</f>
        <v>1149.7940000000001</v>
      </c>
      <c r="T405" s="304">
        <f t="shared" si="265"/>
        <v>364929</v>
      </c>
      <c r="U405" s="501">
        <f t="shared" si="268"/>
        <v>419593174.62600005</v>
      </c>
    </row>
    <row r="406" spans="2:23" ht="65.25" customHeight="1">
      <c r="B406" s="80"/>
      <c r="C406" s="143" t="s">
        <v>519</v>
      </c>
      <c r="D406" s="97"/>
      <c r="E406" s="97"/>
      <c r="F406" s="97"/>
      <c r="G406" s="98" t="s">
        <v>306</v>
      </c>
      <c r="H406" s="102" t="s">
        <v>25</v>
      </c>
      <c r="I406" s="87">
        <v>1064.0300000000002</v>
      </c>
      <c r="J406" s="88">
        <v>1547998</v>
      </c>
      <c r="K406" s="140">
        <f t="shared" si="259"/>
        <v>1647116311.9400003</v>
      </c>
      <c r="L406" s="315"/>
      <c r="M406" s="508">
        <f t="shared" si="260"/>
        <v>501.08129999999983</v>
      </c>
      <c r="N406" s="307">
        <f t="shared" si="261"/>
        <v>0</v>
      </c>
      <c r="O406" s="313">
        <f t="shared" si="262"/>
        <v>775672850.2373997</v>
      </c>
      <c r="P406" s="313">
        <f t="shared" si="263"/>
        <v>0</v>
      </c>
      <c r="Q406" s="313">
        <f t="shared" si="267"/>
        <v>775672850.2373997</v>
      </c>
      <c r="R406" s="244"/>
      <c r="S406" s="303">
        <f>+'MEMORIAS DE CANTIDADES'!L3719</f>
        <v>1565.1113</v>
      </c>
      <c r="T406" s="304">
        <f t="shared" si="265"/>
        <v>1547998</v>
      </c>
      <c r="U406" s="501">
        <f t="shared" si="268"/>
        <v>2422789162.1774001</v>
      </c>
      <c r="V406" s="148"/>
      <c r="W406" s="112"/>
    </row>
    <row r="407" spans="2:23" ht="30" customHeight="1" thickBot="1">
      <c r="B407" s="80"/>
      <c r="C407" s="103" t="s">
        <v>8</v>
      </c>
      <c r="D407" s="592"/>
      <c r="E407" s="592"/>
      <c r="F407" s="592"/>
      <c r="G407" s="593"/>
      <c r="H407" s="592"/>
      <c r="I407" s="507"/>
      <c r="J407" s="104"/>
      <c r="K407" s="142">
        <f>SUM(K396:K406)</f>
        <v>4105831044.41012</v>
      </c>
      <c r="L407" s="325"/>
      <c r="M407" s="319"/>
      <c r="N407" s="319"/>
      <c r="O407" s="308">
        <f t="shared" ref="O407:P407" si="269">SUM(O396:O406)</f>
        <v>2231498358.2349005</v>
      </c>
      <c r="P407" s="308">
        <f t="shared" si="269"/>
        <v>1029130721.11948</v>
      </c>
      <c r="Q407" s="308">
        <f>SUM(Q396:Q406)</f>
        <v>1202367637.1154206</v>
      </c>
      <c r="R407" s="244"/>
      <c r="S407" s="309"/>
      <c r="T407" s="309"/>
      <c r="U407" s="506">
        <f>SUM(U396:U406)</f>
        <v>5308198681.5255404</v>
      </c>
      <c r="V407" s="112"/>
    </row>
    <row r="408" spans="2:23" ht="30" customHeight="1" thickBot="1">
      <c r="B408" s="80"/>
      <c r="C408" s="886" t="s">
        <v>56</v>
      </c>
      <c r="D408" s="887"/>
      <c r="E408" s="887"/>
      <c r="F408" s="887"/>
      <c r="G408" s="887"/>
      <c r="H408" s="887"/>
      <c r="I408" s="887"/>
      <c r="J408" s="887"/>
      <c r="K408" s="887"/>
      <c r="L408" s="889"/>
      <c r="M408" s="887"/>
      <c r="N408" s="887"/>
      <c r="O408" s="920"/>
      <c r="P408" s="920"/>
      <c r="Q408" s="920"/>
      <c r="R408" s="589"/>
      <c r="S408" s="589"/>
      <c r="T408" s="589"/>
      <c r="U408" s="500"/>
    </row>
    <row r="409" spans="2:23" ht="30" customHeight="1">
      <c r="B409" s="80"/>
      <c r="C409" s="84">
        <v>4.0999999999999996</v>
      </c>
      <c r="D409" s="251"/>
      <c r="E409" s="251"/>
      <c r="F409" s="251" t="s">
        <v>584</v>
      </c>
      <c r="G409" s="252" t="s">
        <v>57</v>
      </c>
      <c r="H409" s="251" t="s">
        <v>25</v>
      </c>
      <c r="I409" s="481">
        <v>3076.55</v>
      </c>
      <c r="J409" s="256">
        <v>58639</v>
      </c>
      <c r="K409" s="253">
        <f t="shared" ref="K409:K422" si="270">I409*J409</f>
        <v>180405815.45000002</v>
      </c>
      <c r="L409" s="314"/>
      <c r="M409" s="508">
        <f t="shared" ref="M409:M422" si="271">+IF(I409&lt;S409,S409-I409,0)</f>
        <v>307.65500000000065</v>
      </c>
      <c r="N409" s="307">
        <f t="shared" ref="N409:N422" si="272">+IF(I409&gt;S409,-S409+I409,0)</f>
        <v>0</v>
      </c>
      <c r="O409" s="313">
        <f t="shared" ref="O409:O422" si="273">+M409*J409</f>
        <v>18040581.545000039</v>
      </c>
      <c r="P409" s="313">
        <f t="shared" ref="P409:P422" si="274">+N409*J409</f>
        <v>0</v>
      </c>
      <c r="Q409" s="313">
        <f t="shared" ref="Q409" si="275">+O409-P409</f>
        <v>18040581.545000039</v>
      </c>
      <c r="R409" s="244"/>
      <c r="S409" s="303">
        <f>+'MEMORIAS DE CANTIDADES'!L3733</f>
        <v>3384.2050000000008</v>
      </c>
      <c r="T409" s="304">
        <f t="shared" ref="T409:T422" si="276">+J409</f>
        <v>58639</v>
      </c>
      <c r="U409" s="501">
        <f t="shared" ref="U409" si="277">+S409*T409</f>
        <v>198446396.99500003</v>
      </c>
    </row>
    <row r="410" spans="2:23" ht="30" customHeight="1">
      <c r="B410" s="80"/>
      <c r="C410" s="84">
        <v>4.2</v>
      </c>
      <c r="D410" s="99"/>
      <c r="E410" s="99"/>
      <c r="F410" s="99"/>
      <c r="G410" s="98" t="s">
        <v>58</v>
      </c>
      <c r="H410" s="97" t="s">
        <v>25</v>
      </c>
      <c r="I410" s="113">
        <v>377.64</v>
      </c>
      <c r="J410" s="114">
        <v>83705</v>
      </c>
      <c r="K410" s="253">
        <f t="shared" si="270"/>
        <v>31610356.199999999</v>
      </c>
      <c r="L410" s="315"/>
      <c r="M410" s="508">
        <f t="shared" si="271"/>
        <v>582.92400000000009</v>
      </c>
      <c r="N410" s="307">
        <f t="shared" si="272"/>
        <v>0</v>
      </c>
      <c r="O410" s="313">
        <f t="shared" si="273"/>
        <v>48793653.420000009</v>
      </c>
      <c r="P410" s="313">
        <f t="shared" si="274"/>
        <v>0</v>
      </c>
      <c r="Q410" s="313">
        <f t="shared" ref="Q410:Q422" si="278">+O410-P410</f>
        <v>48793653.420000009</v>
      </c>
      <c r="R410" s="244"/>
      <c r="S410" s="303">
        <f>+'MEMORIAS DE CANTIDADES'!L3744</f>
        <v>960.56400000000008</v>
      </c>
      <c r="T410" s="304">
        <f t="shared" si="276"/>
        <v>83705</v>
      </c>
      <c r="U410" s="501">
        <f t="shared" ref="U410:U422" si="279">+S410*T410</f>
        <v>80404009.620000005</v>
      </c>
    </row>
    <row r="411" spans="2:23" ht="30" customHeight="1">
      <c r="B411" s="80"/>
      <c r="C411" s="84">
        <v>4.3</v>
      </c>
      <c r="D411" s="97"/>
      <c r="E411" s="97"/>
      <c r="F411" s="97"/>
      <c r="G411" s="98" t="s">
        <v>59</v>
      </c>
      <c r="H411" s="97" t="s">
        <v>21</v>
      </c>
      <c r="I411" s="113">
        <v>6153.1</v>
      </c>
      <c r="J411" s="114">
        <v>4360</v>
      </c>
      <c r="K411" s="253">
        <f t="shared" si="270"/>
        <v>26827516</v>
      </c>
      <c r="L411" s="315"/>
      <c r="M411" s="508">
        <f t="shared" si="271"/>
        <v>615.31000000000131</v>
      </c>
      <c r="N411" s="307">
        <f t="shared" si="272"/>
        <v>0</v>
      </c>
      <c r="O411" s="313">
        <f t="shared" si="273"/>
        <v>2682751.6000000057</v>
      </c>
      <c r="P411" s="313">
        <f t="shared" si="274"/>
        <v>0</v>
      </c>
      <c r="Q411" s="313">
        <f t="shared" si="278"/>
        <v>2682751.6000000057</v>
      </c>
      <c r="R411" s="244"/>
      <c r="S411" s="303">
        <f>'MEMORIAS DE CANTIDADES'!L3765</f>
        <v>6768.4100000000017</v>
      </c>
      <c r="T411" s="304">
        <f t="shared" si="276"/>
        <v>4360</v>
      </c>
      <c r="U411" s="501">
        <f>+S411*T411</f>
        <v>29510267.600000009</v>
      </c>
    </row>
    <row r="412" spans="2:23" ht="64.900000000000006" customHeight="1">
      <c r="B412" s="80"/>
      <c r="C412" s="84">
        <v>4.4000000000000004</v>
      </c>
      <c r="D412" s="95"/>
      <c r="E412" s="95"/>
      <c r="F412" s="95"/>
      <c r="G412" s="100" t="s">
        <v>307</v>
      </c>
      <c r="H412" s="95" t="s">
        <v>25</v>
      </c>
      <c r="I412" s="113">
        <v>1845.9299999999998</v>
      </c>
      <c r="J412" s="114">
        <v>84792</v>
      </c>
      <c r="K412" s="253">
        <f t="shared" si="270"/>
        <v>156520096.55999997</v>
      </c>
      <c r="L412" s="315"/>
      <c r="M412" s="508">
        <f t="shared" si="271"/>
        <v>1605.5950000000012</v>
      </c>
      <c r="N412" s="307">
        <f t="shared" si="272"/>
        <v>0</v>
      </c>
      <c r="O412" s="313">
        <f t="shared" si="273"/>
        <v>136141611.2400001</v>
      </c>
      <c r="P412" s="313">
        <f t="shared" si="274"/>
        <v>0</v>
      </c>
      <c r="Q412" s="313">
        <f t="shared" si="278"/>
        <v>136141611.2400001</v>
      </c>
      <c r="R412" s="244"/>
      <c r="S412" s="303">
        <f>+'MEMORIAS DE CANTIDADES'!L3776</f>
        <v>3451.525000000001</v>
      </c>
      <c r="T412" s="304">
        <f t="shared" si="276"/>
        <v>84792</v>
      </c>
      <c r="U412" s="501">
        <f t="shared" si="279"/>
        <v>292661707.80000007</v>
      </c>
      <c r="V412" s="148"/>
    </row>
    <row r="413" spans="2:23" ht="30" customHeight="1">
      <c r="B413" s="80"/>
      <c r="C413" s="84">
        <v>4.5</v>
      </c>
      <c r="D413" s="97"/>
      <c r="E413" s="97"/>
      <c r="F413" s="97"/>
      <c r="G413" s="98" t="s">
        <v>61</v>
      </c>
      <c r="H413" s="97" t="s">
        <v>21</v>
      </c>
      <c r="I413" s="113">
        <v>6706.8790000000008</v>
      </c>
      <c r="J413" s="248">
        <v>21564</v>
      </c>
      <c r="K413" s="253">
        <f t="shared" si="270"/>
        <v>144627138.75600001</v>
      </c>
      <c r="L413" s="315"/>
      <c r="M413" s="508">
        <f t="shared" si="271"/>
        <v>806.60000000000036</v>
      </c>
      <c r="N413" s="307">
        <f t="shared" si="272"/>
        <v>0</v>
      </c>
      <c r="O413" s="313">
        <f t="shared" si="273"/>
        <v>17393522.40000001</v>
      </c>
      <c r="P413" s="313">
        <f t="shared" si="274"/>
        <v>0</v>
      </c>
      <c r="Q413" s="313">
        <f t="shared" si="278"/>
        <v>17393522.40000001</v>
      </c>
      <c r="R413" s="244"/>
      <c r="S413" s="303">
        <f>+'MEMORIAS DE CANTIDADES'!L3788</f>
        <v>7513.4790000000012</v>
      </c>
      <c r="T413" s="304">
        <f t="shared" si="276"/>
        <v>21564</v>
      </c>
      <c r="U413" s="501">
        <f t="shared" si="279"/>
        <v>162020661.15600002</v>
      </c>
    </row>
    <row r="414" spans="2:23" ht="74.25" customHeight="1">
      <c r="B414" s="80"/>
      <c r="C414" s="84">
        <v>4.5999999999999996</v>
      </c>
      <c r="D414" s="95"/>
      <c r="E414" s="95"/>
      <c r="F414" s="95"/>
      <c r="G414" s="100" t="s">
        <v>62</v>
      </c>
      <c r="H414" s="95" t="s">
        <v>25</v>
      </c>
      <c r="I414" s="113">
        <v>1230.6200000000001</v>
      </c>
      <c r="J414" s="248">
        <v>200721</v>
      </c>
      <c r="K414" s="253">
        <f t="shared" si="270"/>
        <v>247011277.02000001</v>
      </c>
      <c r="L414" s="315"/>
      <c r="M414" s="508">
        <f t="shared" si="271"/>
        <v>1166.2030000000007</v>
      </c>
      <c r="N414" s="307">
        <f t="shared" si="272"/>
        <v>0</v>
      </c>
      <c r="O414" s="313">
        <f t="shared" si="273"/>
        <v>234081432.36300012</v>
      </c>
      <c r="P414" s="313">
        <f t="shared" si="274"/>
        <v>0</v>
      </c>
      <c r="Q414" s="313">
        <f t="shared" si="278"/>
        <v>234081432.36300012</v>
      </c>
      <c r="R414" s="244"/>
      <c r="S414" s="303">
        <f>+'MEMORIAS DE CANTIDADES'!L3801</f>
        <v>2396.8230000000008</v>
      </c>
      <c r="T414" s="304">
        <f t="shared" si="276"/>
        <v>200721</v>
      </c>
      <c r="U414" s="501">
        <f t="shared" si="279"/>
        <v>481092709.38300014</v>
      </c>
      <c r="V414" s="148"/>
    </row>
    <row r="415" spans="2:23" ht="30" customHeight="1">
      <c r="B415" s="80"/>
      <c r="C415" s="84">
        <v>4.7</v>
      </c>
      <c r="D415" s="97"/>
      <c r="E415" s="85"/>
      <c r="F415" s="97"/>
      <c r="G415" s="98" t="s">
        <v>63</v>
      </c>
      <c r="H415" s="97" t="s">
        <v>21</v>
      </c>
      <c r="I415" s="113">
        <v>6153.1</v>
      </c>
      <c r="J415" s="114">
        <v>70463</v>
      </c>
      <c r="K415" s="253">
        <f t="shared" si="270"/>
        <v>433565885.30000001</v>
      </c>
      <c r="L415" s="315"/>
      <c r="M415" s="508">
        <f t="shared" si="271"/>
        <v>0</v>
      </c>
      <c r="N415" s="307">
        <f t="shared" si="272"/>
        <v>0</v>
      </c>
      <c r="O415" s="313">
        <f t="shared" si="273"/>
        <v>0</v>
      </c>
      <c r="P415" s="313">
        <f t="shared" si="274"/>
        <v>0</v>
      </c>
      <c r="Q415" s="313">
        <f t="shared" si="278"/>
        <v>0</v>
      </c>
      <c r="R415" s="244"/>
      <c r="S415" s="303">
        <f>+'MEMORIAS DE CANTIDADES'!L3821</f>
        <v>6153.1</v>
      </c>
      <c r="T415" s="304">
        <f t="shared" si="276"/>
        <v>70463</v>
      </c>
      <c r="U415" s="501">
        <f t="shared" si="279"/>
        <v>433565885.30000001</v>
      </c>
    </row>
    <row r="416" spans="2:23" ht="30" customHeight="1">
      <c r="B416" s="80"/>
      <c r="C416" s="84">
        <v>4.8</v>
      </c>
      <c r="D416" s="97"/>
      <c r="E416" s="85"/>
      <c r="F416" s="97"/>
      <c r="G416" s="98" t="s">
        <v>64</v>
      </c>
      <c r="H416" s="97" t="s">
        <v>65</v>
      </c>
      <c r="I416" s="113">
        <v>370</v>
      </c>
      <c r="J416" s="114">
        <v>75149</v>
      </c>
      <c r="K416" s="253">
        <f t="shared" si="270"/>
        <v>27805130</v>
      </c>
      <c r="L416" s="315"/>
      <c r="M416" s="508">
        <f t="shared" si="271"/>
        <v>0</v>
      </c>
      <c r="N416" s="307">
        <f t="shared" si="272"/>
        <v>0</v>
      </c>
      <c r="O416" s="313">
        <f t="shared" si="273"/>
        <v>0</v>
      </c>
      <c r="P416" s="313">
        <f t="shared" si="274"/>
        <v>0</v>
      </c>
      <c r="Q416" s="313">
        <f t="shared" si="278"/>
        <v>0</v>
      </c>
      <c r="R416" s="244"/>
      <c r="S416" s="303">
        <f>+'MEMORIAS DE CANTIDADES'!L3833</f>
        <v>370</v>
      </c>
      <c r="T416" s="304">
        <f t="shared" si="276"/>
        <v>75149</v>
      </c>
      <c r="U416" s="501">
        <f t="shared" si="279"/>
        <v>27805130</v>
      </c>
    </row>
    <row r="417" spans="2:22" ht="30" customHeight="1">
      <c r="B417" s="80"/>
      <c r="C417" s="84">
        <v>4.9000000000000004</v>
      </c>
      <c r="D417" s="97"/>
      <c r="E417" s="85"/>
      <c r="F417" s="97"/>
      <c r="G417" s="98" t="s">
        <v>66</v>
      </c>
      <c r="H417" s="97" t="s">
        <v>65</v>
      </c>
      <c r="I417" s="113">
        <v>740</v>
      </c>
      <c r="J417" s="114">
        <v>127081</v>
      </c>
      <c r="K417" s="253">
        <f t="shared" si="270"/>
        <v>94039940</v>
      </c>
      <c r="L417" s="315"/>
      <c r="M417" s="508">
        <f t="shared" si="271"/>
        <v>0</v>
      </c>
      <c r="N417" s="307">
        <f t="shared" si="272"/>
        <v>0</v>
      </c>
      <c r="O417" s="313">
        <f t="shared" si="273"/>
        <v>0</v>
      </c>
      <c r="P417" s="313">
        <f t="shared" si="274"/>
        <v>0</v>
      </c>
      <c r="Q417" s="313">
        <f t="shared" si="278"/>
        <v>0</v>
      </c>
      <c r="R417" s="244"/>
      <c r="S417" s="303">
        <f>+'MEMORIAS DE CANTIDADES'!L3845</f>
        <v>740</v>
      </c>
      <c r="T417" s="304">
        <f t="shared" si="276"/>
        <v>127081</v>
      </c>
      <c r="U417" s="501">
        <f t="shared" si="279"/>
        <v>94039940</v>
      </c>
    </row>
    <row r="418" spans="2:22" ht="30" customHeight="1">
      <c r="B418" s="80"/>
      <c r="C418" s="143" t="s">
        <v>844</v>
      </c>
      <c r="D418" s="97"/>
      <c r="E418" s="85"/>
      <c r="F418" s="97"/>
      <c r="G418" s="98" t="s">
        <v>67</v>
      </c>
      <c r="H418" s="97" t="s">
        <v>65</v>
      </c>
      <c r="I418" s="113">
        <v>48</v>
      </c>
      <c r="J418" s="114">
        <v>95101</v>
      </c>
      <c r="K418" s="253">
        <f t="shared" si="270"/>
        <v>4564848</v>
      </c>
      <c r="L418" s="315"/>
      <c r="M418" s="508">
        <f t="shared" si="271"/>
        <v>10</v>
      </c>
      <c r="N418" s="307">
        <f t="shared" si="272"/>
        <v>0</v>
      </c>
      <c r="O418" s="313">
        <f t="shared" si="273"/>
        <v>951010</v>
      </c>
      <c r="P418" s="313">
        <f t="shared" si="274"/>
        <v>0</v>
      </c>
      <c r="Q418" s="313">
        <f t="shared" si="278"/>
        <v>951010</v>
      </c>
      <c r="R418" s="244"/>
      <c r="S418" s="303">
        <f>+'MEMORIAS DE CANTIDADES'!L3857</f>
        <v>58</v>
      </c>
      <c r="T418" s="304">
        <f t="shared" si="276"/>
        <v>95101</v>
      </c>
      <c r="U418" s="501">
        <f t="shared" si="279"/>
        <v>5515858</v>
      </c>
    </row>
    <row r="419" spans="2:22" ht="30" customHeight="1">
      <c r="B419" s="80"/>
      <c r="C419" s="90">
        <v>4.1100000000000003</v>
      </c>
      <c r="D419" s="97"/>
      <c r="E419" s="97"/>
      <c r="F419" s="97"/>
      <c r="G419" s="98" t="s">
        <v>68</v>
      </c>
      <c r="H419" s="102" t="s">
        <v>65</v>
      </c>
      <c r="I419" s="113">
        <v>60</v>
      </c>
      <c r="J419" s="114">
        <v>336569</v>
      </c>
      <c r="K419" s="253">
        <f t="shared" si="270"/>
        <v>20194140</v>
      </c>
      <c r="L419" s="315"/>
      <c r="M419" s="508">
        <f t="shared" si="271"/>
        <v>252</v>
      </c>
      <c r="N419" s="307">
        <f t="shared" si="272"/>
        <v>0</v>
      </c>
      <c r="O419" s="313">
        <f t="shared" si="273"/>
        <v>84815388</v>
      </c>
      <c r="P419" s="313">
        <f t="shared" si="274"/>
        <v>0</v>
      </c>
      <c r="Q419" s="313">
        <f t="shared" si="278"/>
        <v>84815388</v>
      </c>
      <c r="R419" s="244"/>
      <c r="S419" s="303">
        <f>+'MEMORIAS DE CANTIDADES'!L3869</f>
        <v>312</v>
      </c>
      <c r="T419" s="304">
        <f t="shared" si="276"/>
        <v>336569</v>
      </c>
      <c r="U419" s="501">
        <f t="shared" si="279"/>
        <v>105009528</v>
      </c>
    </row>
    <row r="420" spans="2:22" ht="41.45" customHeight="1">
      <c r="B420" s="80"/>
      <c r="C420" s="90">
        <v>4.12</v>
      </c>
      <c r="D420" s="97"/>
      <c r="E420" s="97"/>
      <c r="F420" s="97"/>
      <c r="G420" s="98" t="s">
        <v>69</v>
      </c>
      <c r="H420" s="102" t="s">
        <v>21</v>
      </c>
      <c r="I420" s="113">
        <v>6153.1</v>
      </c>
      <c r="J420" s="114">
        <v>109710</v>
      </c>
      <c r="K420" s="253">
        <f t="shared" si="270"/>
        <v>675056601</v>
      </c>
      <c r="L420" s="315"/>
      <c r="M420" s="508">
        <f t="shared" si="271"/>
        <v>0</v>
      </c>
      <c r="N420" s="307">
        <f t="shared" si="272"/>
        <v>6153.1</v>
      </c>
      <c r="O420" s="313">
        <f t="shared" si="273"/>
        <v>0</v>
      </c>
      <c r="P420" s="313">
        <f t="shared" si="274"/>
        <v>675056601</v>
      </c>
      <c r="Q420" s="313">
        <f t="shared" si="278"/>
        <v>-675056601</v>
      </c>
      <c r="R420" s="244"/>
      <c r="S420" s="303">
        <v>0</v>
      </c>
      <c r="T420" s="304">
        <f t="shared" si="276"/>
        <v>109710</v>
      </c>
      <c r="U420" s="501">
        <f t="shared" si="279"/>
        <v>0</v>
      </c>
    </row>
    <row r="421" spans="2:22" ht="30">
      <c r="B421" s="80"/>
      <c r="C421" s="90">
        <v>4.13</v>
      </c>
      <c r="D421" s="97"/>
      <c r="E421" s="97"/>
      <c r="F421" s="97"/>
      <c r="G421" s="98" t="s">
        <v>70</v>
      </c>
      <c r="H421" s="102" t="s">
        <v>71</v>
      </c>
      <c r="I421" s="113">
        <v>11</v>
      </c>
      <c r="J421" s="114">
        <v>2083416</v>
      </c>
      <c r="K421" s="253">
        <f t="shared" si="270"/>
        <v>22917576</v>
      </c>
      <c r="L421" s="315"/>
      <c r="M421" s="508">
        <f t="shared" si="271"/>
        <v>1</v>
      </c>
      <c r="N421" s="307">
        <f t="shared" si="272"/>
        <v>0</v>
      </c>
      <c r="O421" s="313">
        <f t="shared" si="273"/>
        <v>2083416</v>
      </c>
      <c r="P421" s="313">
        <f t="shared" si="274"/>
        <v>0</v>
      </c>
      <c r="Q421" s="313">
        <f t="shared" si="278"/>
        <v>2083416</v>
      </c>
      <c r="R421" s="244"/>
      <c r="S421" s="303">
        <f>+'MEMORIAS DE CANTIDADES'!L3893</f>
        <v>12</v>
      </c>
      <c r="T421" s="304">
        <f t="shared" si="276"/>
        <v>2083416</v>
      </c>
      <c r="U421" s="501">
        <f t="shared" si="279"/>
        <v>25000992</v>
      </c>
    </row>
    <row r="422" spans="2:22" ht="30" customHeight="1">
      <c r="B422" s="80"/>
      <c r="C422" s="90">
        <v>4.1399999999999997</v>
      </c>
      <c r="D422" s="97"/>
      <c r="E422" s="97"/>
      <c r="F422" s="97"/>
      <c r="G422" s="98" t="s">
        <v>73</v>
      </c>
      <c r="H422" s="102" t="s">
        <v>65</v>
      </c>
      <c r="I422" s="113">
        <v>152</v>
      </c>
      <c r="J422" s="114">
        <v>808027</v>
      </c>
      <c r="K422" s="253">
        <f t="shared" si="270"/>
        <v>122820104</v>
      </c>
      <c r="L422" s="315"/>
      <c r="M422" s="508">
        <f t="shared" si="271"/>
        <v>0</v>
      </c>
      <c r="N422" s="307">
        <f t="shared" si="272"/>
        <v>152</v>
      </c>
      <c r="O422" s="313">
        <f t="shared" si="273"/>
        <v>0</v>
      </c>
      <c r="P422" s="313">
        <f t="shared" si="274"/>
        <v>122820104</v>
      </c>
      <c r="Q422" s="313">
        <f t="shared" si="278"/>
        <v>-122820104</v>
      </c>
      <c r="R422" s="244"/>
      <c r="S422" s="303">
        <f>+'MEMORIAS DE CANTIDADES'!L3906</f>
        <v>0</v>
      </c>
      <c r="T422" s="304">
        <f t="shared" si="276"/>
        <v>808027</v>
      </c>
      <c r="U422" s="501">
        <f t="shared" si="279"/>
        <v>0</v>
      </c>
    </row>
    <row r="423" spans="2:22" ht="30" customHeight="1" thickBot="1">
      <c r="B423" s="80"/>
      <c r="C423" s="103" t="s">
        <v>8</v>
      </c>
      <c r="D423" s="592"/>
      <c r="E423" s="592"/>
      <c r="F423" s="592"/>
      <c r="G423" s="593"/>
      <c r="H423" s="592"/>
      <c r="I423" s="92"/>
      <c r="J423" s="104"/>
      <c r="K423" s="142">
        <f>SUM(K409:K422)</f>
        <v>2187966424.2860003</v>
      </c>
      <c r="L423" s="325"/>
      <c r="M423" s="319"/>
      <c r="N423" s="319"/>
      <c r="O423" s="308">
        <f>SUM(O409:O422)</f>
        <v>544983366.56800032</v>
      </c>
      <c r="P423" s="308">
        <f>SUM(P409:P422)</f>
        <v>797876705</v>
      </c>
      <c r="Q423" s="308">
        <f>SUM(Q409:Q422)</f>
        <v>-252893338.43199968</v>
      </c>
      <c r="R423" s="244"/>
      <c r="S423" s="309"/>
      <c r="T423" s="309"/>
      <c r="U423" s="506">
        <f>SUM(U409:U422)</f>
        <v>1935073085.8540003</v>
      </c>
      <c r="V423" s="112"/>
    </row>
    <row r="424" spans="2:22" ht="30" customHeight="1" thickBot="1">
      <c r="B424" s="80"/>
      <c r="C424" s="886" t="s">
        <v>75</v>
      </c>
      <c r="D424" s="887"/>
      <c r="E424" s="887"/>
      <c r="F424" s="887"/>
      <c r="G424" s="887"/>
      <c r="H424" s="887"/>
      <c r="I424" s="887"/>
      <c r="J424" s="887"/>
      <c r="K424" s="887"/>
      <c r="L424" s="889"/>
      <c r="M424" s="887"/>
      <c r="N424" s="887"/>
      <c r="O424" s="920"/>
      <c r="P424" s="920"/>
      <c r="Q424" s="920"/>
      <c r="R424" s="589"/>
      <c r="S424" s="589"/>
      <c r="T424" s="589"/>
      <c r="U424" s="500"/>
    </row>
    <row r="425" spans="2:22" ht="30" customHeight="1">
      <c r="B425" s="80"/>
      <c r="C425" s="84">
        <v>5.0999999999999996</v>
      </c>
      <c r="D425" s="251"/>
      <c r="E425" s="251"/>
      <c r="F425" s="251"/>
      <c r="G425" s="252" t="s">
        <v>76</v>
      </c>
      <c r="H425" s="251" t="s">
        <v>21</v>
      </c>
      <c r="I425" s="249">
        <v>216.71999999999997</v>
      </c>
      <c r="J425" s="246">
        <v>105547</v>
      </c>
      <c r="K425" s="140">
        <f t="shared" ref="K425:K431" si="280">I425*J425</f>
        <v>22874145.839999996</v>
      </c>
      <c r="L425" s="314"/>
      <c r="M425" s="508">
        <f t="shared" ref="M425:M431" si="281">+IF(I425&lt;S425,S425-I425,0)</f>
        <v>125.19999999999999</v>
      </c>
      <c r="N425" s="307">
        <f t="shared" ref="N425:N431" si="282">+IF(I425&gt;S425,-S425+I425,0)</f>
        <v>0</v>
      </c>
      <c r="O425" s="313">
        <f t="shared" ref="O425:O431" si="283">+M425*J425</f>
        <v>13214484.399999999</v>
      </c>
      <c r="P425" s="313">
        <f t="shared" ref="P425:P431" si="284">+N425*J425</f>
        <v>0</v>
      </c>
      <c r="Q425" s="511">
        <f t="shared" ref="Q425:Q426" si="285">+O425-P425</f>
        <v>13214484.399999999</v>
      </c>
      <c r="R425" s="326"/>
      <c r="S425" s="512">
        <f>+'MEMORIAS DE CANTIDADES'!L3918</f>
        <v>341.91999999999996</v>
      </c>
      <c r="T425" s="304">
        <f t="shared" ref="T425:T431" si="286">+J425</f>
        <v>105547</v>
      </c>
      <c r="U425" s="501">
        <f t="shared" ref="U425" si="287">+S425*T425</f>
        <v>36088630.239999995</v>
      </c>
      <c r="V425" s="148"/>
    </row>
    <row r="426" spans="2:22" ht="30" customHeight="1">
      <c r="B426" s="80"/>
      <c r="C426" s="84">
        <v>5.2</v>
      </c>
      <c r="D426" s="99"/>
      <c r="E426" s="99"/>
      <c r="F426" s="99"/>
      <c r="G426" s="98" t="s">
        <v>77</v>
      </c>
      <c r="H426" s="97" t="s">
        <v>21</v>
      </c>
      <c r="I426" s="87">
        <v>1819.1619999999998</v>
      </c>
      <c r="J426" s="88">
        <v>98370</v>
      </c>
      <c r="K426" s="140">
        <f t="shared" si="280"/>
        <v>178950965.93999997</v>
      </c>
      <c r="L426" s="315"/>
      <c r="M426" s="508">
        <f t="shared" si="281"/>
        <v>0</v>
      </c>
      <c r="N426" s="307">
        <f t="shared" si="282"/>
        <v>324.06199999999967</v>
      </c>
      <c r="O426" s="313">
        <f t="shared" si="283"/>
        <v>0</v>
      </c>
      <c r="P426" s="313">
        <f t="shared" si="284"/>
        <v>31877978.939999968</v>
      </c>
      <c r="Q426" s="511">
        <f t="shared" si="285"/>
        <v>-31877978.939999968</v>
      </c>
      <c r="R426" s="321"/>
      <c r="S426" s="512">
        <f>+'MEMORIAS DE CANTIDADES'!L3931</f>
        <v>1495.1000000000001</v>
      </c>
      <c r="T426" s="304">
        <f t="shared" si="286"/>
        <v>98370</v>
      </c>
      <c r="U426" s="501">
        <f t="shared" ref="U426:U431" si="288">+S426*T426</f>
        <v>147072987</v>
      </c>
    </row>
    <row r="427" spans="2:22" ht="30" customHeight="1">
      <c r="B427" s="80"/>
      <c r="C427" s="84">
        <v>5.3</v>
      </c>
      <c r="D427" s="97"/>
      <c r="E427" s="97"/>
      <c r="F427" s="97"/>
      <c r="G427" s="98" t="s">
        <v>78</v>
      </c>
      <c r="H427" s="97" t="s">
        <v>21</v>
      </c>
      <c r="I427" s="87">
        <v>5215.7639999999983</v>
      </c>
      <c r="J427" s="88">
        <v>41627</v>
      </c>
      <c r="K427" s="140">
        <f t="shared" si="280"/>
        <v>217116608.02799994</v>
      </c>
      <c r="L427" s="315"/>
      <c r="M427" s="508">
        <f t="shared" si="281"/>
        <v>0</v>
      </c>
      <c r="N427" s="307">
        <f t="shared" si="282"/>
        <v>2070.3639999999982</v>
      </c>
      <c r="O427" s="313">
        <f t="shared" si="283"/>
        <v>0</v>
      </c>
      <c r="P427" s="313">
        <f t="shared" si="284"/>
        <v>86183042.227999926</v>
      </c>
      <c r="Q427" s="511">
        <f t="shared" ref="Q427:Q431" si="289">+O427-P427</f>
        <v>-86183042.227999926</v>
      </c>
      <c r="R427" s="321"/>
      <c r="S427" s="512">
        <f>+'MEMORIAS DE CANTIDADES'!L3962</f>
        <v>3145.4</v>
      </c>
      <c r="T427" s="304">
        <f t="shared" si="286"/>
        <v>41627</v>
      </c>
      <c r="U427" s="501">
        <f t="shared" si="288"/>
        <v>130933565.8</v>
      </c>
    </row>
    <row r="428" spans="2:22" ht="30" customHeight="1">
      <c r="B428" s="80"/>
      <c r="C428" s="84">
        <v>5.4</v>
      </c>
      <c r="D428" s="95"/>
      <c r="E428" s="95"/>
      <c r="F428" s="95"/>
      <c r="G428" s="100" t="s">
        <v>79</v>
      </c>
      <c r="H428" s="95" t="s">
        <v>65</v>
      </c>
      <c r="I428" s="87">
        <v>152.80000000000001</v>
      </c>
      <c r="J428" s="88">
        <v>82372</v>
      </c>
      <c r="K428" s="140">
        <f t="shared" si="280"/>
        <v>12586441.600000001</v>
      </c>
      <c r="L428" s="315"/>
      <c r="M428" s="508">
        <f t="shared" si="281"/>
        <v>0</v>
      </c>
      <c r="N428" s="307">
        <f t="shared" si="282"/>
        <v>109.40000000000002</v>
      </c>
      <c r="O428" s="313">
        <f t="shared" si="283"/>
        <v>0</v>
      </c>
      <c r="P428" s="313">
        <f t="shared" si="284"/>
        <v>9011496.8000000007</v>
      </c>
      <c r="Q428" s="511">
        <f t="shared" si="289"/>
        <v>-9011496.8000000007</v>
      </c>
      <c r="R428" s="321"/>
      <c r="S428" s="512">
        <f>+'MEMORIAS DE CANTIDADES'!L4002</f>
        <v>43.399999999999991</v>
      </c>
      <c r="T428" s="304">
        <f t="shared" si="286"/>
        <v>82372</v>
      </c>
      <c r="U428" s="501">
        <f t="shared" si="288"/>
        <v>3574944.7999999993</v>
      </c>
    </row>
    <row r="429" spans="2:22" ht="30" customHeight="1">
      <c r="B429" s="80"/>
      <c r="C429" s="84">
        <v>5.5</v>
      </c>
      <c r="D429" s="97"/>
      <c r="E429" s="97"/>
      <c r="F429" s="97"/>
      <c r="G429" s="98" t="s">
        <v>80</v>
      </c>
      <c r="H429" s="97" t="s">
        <v>305</v>
      </c>
      <c r="I429" s="87">
        <v>28.402000000000001</v>
      </c>
      <c r="J429" s="101">
        <v>1302115</v>
      </c>
      <c r="K429" s="140">
        <f t="shared" si="280"/>
        <v>36982670.230000004</v>
      </c>
      <c r="L429" s="315"/>
      <c r="M429" s="508">
        <f t="shared" si="281"/>
        <v>394.78192000000001</v>
      </c>
      <c r="N429" s="307">
        <f t="shared" si="282"/>
        <v>0</v>
      </c>
      <c r="O429" s="313">
        <f t="shared" si="283"/>
        <v>514051459.7608</v>
      </c>
      <c r="P429" s="313">
        <f t="shared" si="284"/>
        <v>0</v>
      </c>
      <c r="Q429" s="511">
        <f t="shared" si="289"/>
        <v>514051459.7608</v>
      </c>
      <c r="R429" s="321"/>
      <c r="S429" s="512">
        <f>+'MEMORIAS DE CANTIDADES'!L4015</f>
        <v>423.18392</v>
      </c>
      <c r="T429" s="304">
        <f t="shared" si="286"/>
        <v>1302115</v>
      </c>
      <c r="U429" s="501">
        <f t="shared" si="288"/>
        <v>551034129.99080002</v>
      </c>
    </row>
    <row r="430" spans="2:22" ht="30" customHeight="1">
      <c r="B430" s="80"/>
      <c r="C430" s="84">
        <v>5.6</v>
      </c>
      <c r="D430" s="95"/>
      <c r="E430" s="95"/>
      <c r="F430" s="95"/>
      <c r="G430" s="100" t="s">
        <v>81</v>
      </c>
      <c r="H430" s="95" t="s">
        <v>65</v>
      </c>
      <c r="I430" s="87">
        <v>57.8</v>
      </c>
      <c r="J430" s="101">
        <v>1313009</v>
      </c>
      <c r="K430" s="140">
        <f t="shared" si="280"/>
        <v>75891920.200000003</v>
      </c>
      <c r="L430" s="315"/>
      <c r="M430" s="508">
        <f t="shared" si="281"/>
        <v>0</v>
      </c>
      <c r="N430" s="307">
        <f t="shared" si="282"/>
        <v>16.799999999999997</v>
      </c>
      <c r="O430" s="313">
        <f t="shared" si="283"/>
        <v>0</v>
      </c>
      <c r="P430" s="313">
        <f t="shared" si="284"/>
        <v>22058551.199999996</v>
      </c>
      <c r="Q430" s="511">
        <f t="shared" si="289"/>
        <v>-22058551.199999996</v>
      </c>
      <c r="R430" s="321"/>
      <c r="S430" s="512">
        <f>+'MEMORIAS DE CANTIDADES'!L4046</f>
        <v>41</v>
      </c>
      <c r="T430" s="304">
        <f t="shared" si="286"/>
        <v>1313009</v>
      </c>
      <c r="U430" s="501">
        <f t="shared" si="288"/>
        <v>53833369</v>
      </c>
    </row>
    <row r="431" spans="2:22" ht="30" customHeight="1">
      <c r="B431" s="80"/>
      <c r="C431" s="84">
        <v>5.7</v>
      </c>
      <c r="D431" s="97"/>
      <c r="E431" s="85"/>
      <c r="F431" s="97"/>
      <c r="G431" s="98" t="s">
        <v>82</v>
      </c>
      <c r="H431" s="97" t="s">
        <v>21</v>
      </c>
      <c r="I431" s="87">
        <v>101.03999999999999</v>
      </c>
      <c r="J431" s="88">
        <v>232170</v>
      </c>
      <c r="K431" s="140">
        <f t="shared" si="280"/>
        <v>23458456.799999997</v>
      </c>
      <c r="L431" s="315"/>
      <c r="M431" s="508">
        <f t="shared" si="281"/>
        <v>0</v>
      </c>
      <c r="N431" s="307">
        <f t="shared" si="282"/>
        <v>101.03999999999999</v>
      </c>
      <c r="O431" s="313">
        <f t="shared" si="283"/>
        <v>0</v>
      </c>
      <c r="P431" s="313">
        <f t="shared" si="284"/>
        <v>23458456.799999997</v>
      </c>
      <c r="Q431" s="511">
        <f t="shared" si="289"/>
        <v>-23458456.799999997</v>
      </c>
      <c r="R431" s="321"/>
      <c r="S431" s="512">
        <f>+'MEMORIAS DE CANTIDADES'!L4060</f>
        <v>0</v>
      </c>
      <c r="T431" s="304">
        <f t="shared" si="286"/>
        <v>232170</v>
      </c>
      <c r="U431" s="501">
        <f t="shared" si="288"/>
        <v>0</v>
      </c>
    </row>
    <row r="432" spans="2:22" ht="30" customHeight="1" thickBot="1">
      <c r="B432" s="80"/>
      <c r="C432" s="103" t="s">
        <v>8</v>
      </c>
      <c r="D432" s="592"/>
      <c r="E432" s="592"/>
      <c r="F432" s="592"/>
      <c r="G432" s="593"/>
      <c r="H432" s="592"/>
      <c r="I432" s="507"/>
      <c r="J432" s="104"/>
      <c r="K432" s="142">
        <f>SUM(K425:K431)</f>
        <v>567861208.63799989</v>
      </c>
      <c r="L432" s="325"/>
      <c r="M432" s="319"/>
      <c r="N432" s="319"/>
      <c r="O432" s="308">
        <f>SUM(O425:O431)</f>
        <v>527265944.16079998</v>
      </c>
      <c r="P432" s="308">
        <f>SUM(P425:P431)</f>
        <v>172589525.96799988</v>
      </c>
      <c r="Q432" s="530">
        <f>SUM(Q425:Q431)</f>
        <v>354676418.1928001</v>
      </c>
      <c r="R432" s="327"/>
      <c r="S432" s="324"/>
      <c r="T432" s="324"/>
      <c r="U432" s="506">
        <f>SUM(U425:U431)</f>
        <v>922537626.83080006</v>
      </c>
      <c r="V432" s="112"/>
    </row>
    <row r="433" spans="2:23" ht="30" customHeight="1" thickBot="1">
      <c r="B433" s="80"/>
      <c r="C433" s="886" t="s">
        <v>83</v>
      </c>
      <c r="D433" s="887"/>
      <c r="E433" s="887"/>
      <c r="F433" s="887"/>
      <c r="G433" s="887"/>
      <c r="H433" s="887"/>
      <c r="I433" s="887"/>
      <c r="J433" s="887"/>
      <c r="K433" s="887"/>
      <c r="L433" s="889"/>
      <c r="M433" s="887"/>
      <c r="N433" s="887"/>
      <c r="O433" s="920"/>
      <c r="P433" s="920"/>
      <c r="Q433" s="920"/>
      <c r="R433" s="589"/>
      <c r="S433" s="589"/>
      <c r="T433" s="589"/>
      <c r="U433" s="500"/>
    </row>
    <row r="434" spans="2:23" ht="30" customHeight="1">
      <c r="B434" s="80"/>
      <c r="C434" s="84">
        <v>6.1</v>
      </c>
      <c r="D434" s="251"/>
      <c r="E434" s="251"/>
      <c r="F434" s="251"/>
      <c r="G434" s="252" t="s">
        <v>84</v>
      </c>
      <c r="H434" s="251" t="s">
        <v>25</v>
      </c>
      <c r="I434" s="249">
        <v>623.72949999999992</v>
      </c>
      <c r="J434" s="246">
        <v>83705</v>
      </c>
      <c r="K434" s="140">
        <f t="shared" ref="K434:K446" si="290">I434*J434</f>
        <v>52209277.797499992</v>
      </c>
      <c r="L434" s="314"/>
      <c r="M434" s="508">
        <f t="shared" ref="M434:M446" si="291">+IF(I434&lt;S434,S434-I434,0)</f>
        <v>4.3507500000001755</v>
      </c>
      <c r="N434" s="307">
        <f t="shared" ref="N434:N446" si="292">+IF(I434&gt;S434,-S434+I434,0)</f>
        <v>0</v>
      </c>
      <c r="O434" s="313">
        <f t="shared" ref="O434:O446" si="293">+M434*J434</f>
        <v>364179.52875001467</v>
      </c>
      <c r="P434" s="313">
        <f t="shared" ref="P434:P446" si="294">+N434*J434</f>
        <v>0</v>
      </c>
      <c r="Q434" s="313">
        <f t="shared" ref="Q434" si="295">+O434-P434</f>
        <v>364179.52875001467</v>
      </c>
      <c r="R434" s="244"/>
      <c r="S434" s="303">
        <f>+'MEMORIAS DE CANTIDADES'!L4075</f>
        <v>628.08025000000009</v>
      </c>
      <c r="T434" s="304">
        <f t="shared" ref="T434:T446" si="296">+J434</f>
        <v>83705</v>
      </c>
      <c r="U434" s="501">
        <f t="shared" ref="U434" si="297">+S434*T434</f>
        <v>52573457.326250009</v>
      </c>
    </row>
    <row r="435" spans="2:23" ht="30" customHeight="1">
      <c r="B435" s="80"/>
      <c r="C435" s="84">
        <v>6.2</v>
      </c>
      <c r="D435" s="99"/>
      <c r="E435" s="99"/>
      <c r="F435" s="99"/>
      <c r="G435" s="98" t="s">
        <v>85</v>
      </c>
      <c r="H435" s="97" t="s">
        <v>25</v>
      </c>
      <c r="I435" s="87">
        <v>99.666999999999987</v>
      </c>
      <c r="J435" s="88">
        <v>570473</v>
      </c>
      <c r="K435" s="140">
        <f t="shared" si="290"/>
        <v>56857332.490999989</v>
      </c>
      <c r="L435" s="315"/>
      <c r="M435" s="508">
        <f t="shared" si="291"/>
        <v>25.313000000000002</v>
      </c>
      <c r="N435" s="307">
        <f t="shared" si="292"/>
        <v>0</v>
      </c>
      <c r="O435" s="313">
        <f t="shared" si="293"/>
        <v>14440383.049000001</v>
      </c>
      <c r="P435" s="313">
        <f t="shared" si="294"/>
        <v>0</v>
      </c>
      <c r="Q435" s="313">
        <f t="shared" ref="Q435:Q446" si="298">+O435-P435</f>
        <v>14440383.049000001</v>
      </c>
      <c r="R435" s="244"/>
      <c r="S435" s="303">
        <f>++'MEMORIAS DE CANTIDADES'!L4096</f>
        <v>124.97999999999999</v>
      </c>
      <c r="T435" s="304">
        <f t="shared" si="296"/>
        <v>570473</v>
      </c>
      <c r="U435" s="501">
        <f t="shared" ref="U435:U446" si="299">+S435*T435</f>
        <v>71297715.539999992</v>
      </c>
    </row>
    <row r="436" spans="2:23" ht="45">
      <c r="B436" s="80"/>
      <c r="C436" s="84">
        <v>6.3</v>
      </c>
      <c r="D436" s="97"/>
      <c r="E436" s="97"/>
      <c r="F436" s="97"/>
      <c r="G436" s="98" t="s">
        <v>86</v>
      </c>
      <c r="H436" s="97" t="s">
        <v>25</v>
      </c>
      <c r="I436" s="87">
        <v>85.085000000000008</v>
      </c>
      <c r="J436" s="88">
        <v>108681</v>
      </c>
      <c r="K436" s="140">
        <f t="shared" si="290"/>
        <v>9247122.8850000016</v>
      </c>
      <c r="L436" s="315"/>
      <c r="M436" s="508">
        <f t="shared" si="291"/>
        <v>27.348749999999995</v>
      </c>
      <c r="N436" s="307">
        <f t="shared" si="292"/>
        <v>0</v>
      </c>
      <c r="O436" s="313">
        <f t="shared" si="293"/>
        <v>2972289.4987499993</v>
      </c>
      <c r="P436" s="313">
        <f t="shared" si="294"/>
        <v>0</v>
      </c>
      <c r="Q436" s="313">
        <f t="shared" si="298"/>
        <v>2972289.4987499993</v>
      </c>
      <c r="R436" s="244"/>
      <c r="S436" s="303">
        <f>+'MEMORIAS DE CANTIDADES'!L4111</f>
        <v>112.43375</v>
      </c>
      <c r="T436" s="304">
        <f t="shared" si="296"/>
        <v>108681</v>
      </c>
      <c r="U436" s="501">
        <f t="shared" si="299"/>
        <v>12219412.383750001</v>
      </c>
    </row>
    <row r="437" spans="2:23" ht="30" customHeight="1">
      <c r="B437" s="80"/>
      <c r="C437" s="84">
        <v>6.4</v>
      </c>
      <c r="D437" s="95"/>
      <c r="E437" s="95"/>
      <c r="F437" s="95"/>
      <c r="G437" s="100" t="s">
        <v>46</v>
      </c>
      <c r="H437" s="95" t="s">
        <v>21</v>
      </c>
      <c r="I437" s="87">
        <v>85.085000000000008</v>
      </c>
      <c r="J437" s="88">
        <v>41144</v>
      </c>
      <c r="K437" s="140">
        <f t="shared" si="290"/>
        <v>3500737.24</v>
      </c>
      <c r="L437" s="315"/>
      <c r="M437" s="508">
        <f t="shared" si="291"/>
        <v>17.127499999999998</v>
      </c>
      <c r="N437" s="307">
        <f t="shared" si="292"/>
        <v>0</v>
      </c>
      <c r="O437" s="313">
        <f t="shared" si="293"/>
        <v>704693.85999999987</v>
      </c>
      <c r="P437" s="313">
        <f t="shared" si="294"/>
        <v>0</v>
      </c>
      <c r="Q437" s="313">
        <f t="shared" si="298"/>
        <v>704693.85999999987</v>
      </c>
      <c r="R437" s="244"/>
      <c r="S437" s="303">
        <f>+'MEMORIAS DE CANTIDADES'!L4127</f>
        <v>102.21250000000001</v>
      </c>
      <c r="T437" s="304">
        <f t="shared" si="296"/>
        <v>41144</v>
      </c>
      <c r="U437" s="501">
        <f t="shared" si="299"/>
        <v>4205431.1000000006</v>
      </c>
    </row>
    <row r="438" spans="2:23" ht="30" customHeight="1">
      <c r="B438" s="80"/>
      <c r="C438" s="84">
        <v>6.5</v>
      </c>
      <c r="D438" s="97"/>
      <c r="E438" s="97"/>
      <c r="F438" s="97"/>
      <c r="G438" s="98" t="s">
        <v>87</v>
      </c>
      <c r="H438" s="97" t="s">
        <v>25</v>
      </c>
      <c r="I438" s="87">
        <v>146.19624999999999</v>
      </c>
      <c r="J438" s="101">
        <v>1082757</v>
      </c>
      <c r="K438" s="140">
        <f t="shared" si="290"/>
        <v>158295013.06125</v>
      </c>
      <c r="L438" s="315"/>
      <c r="M438" s="508">
        <f t="shared" si="291"/>
        <v>0</v>
      </c>
      <c r="N438" s="307">
        <f t="shared" si="292"/>
        <v>146.19624999999999</v>
      </c>
      <c r="O438" s="313">
        <f t="shared" si="293"/>
        <v>0</v>
      </c>
      <c r="P438" s="313">
        <f t="shared" si="294"/>
        <v>158295013.06125</v>
      </c>
      <c r="Q438" s="313">
        <f t="shared" si="298"/>
        <v>-158295013.06125</v>
      </c>
      <c r="R438" s="244"/>
      <c r="S438" s="303">
        <v>0</v>
      </c>
      <c r="T438" s="304">
        <f t="shared" si="296"/>
        <v>1082757</v>
      </c>
      <c r="U438" s="501">
        <f t="shared" si="299"/>
        <v>0</v>
      </c>
    </row>
    <row r="439" spans="2:23" ht="30" customHeight="1">
      <c r="B439" s="80"/>
      <c r="C439" s="84">
        <v>6.6</v>
      </c>
      <c r="D439" s="95"/>
      <c r="E439" s="95"/>
      <c r="F439" s="95"/>
      <c r="G439" s="100" t="s">
        <v>88</v>
      </c>
      <c r="H439" s="95" t="s">
        <v>21</v>
      </c>
      <c r="I439" s="87">
        <v>535.55039999999997</v>
      </c>
      <c r="J439" s="101">
        <v>170104</v>
      </c>
      <c r="K439" s="140">
        <f t="shared" si="290"/>
        <v>91099265.241599992</v>
      </c>
      <c r="L439" s="315"/>
      <c r="M439" s="508">
        <f t="shared" si="291"/>
        <v>107.80560000000003</v>
      </c>
      <c r="N439" s="307">
        <f t="shared" si="292"/>
        <v>0</v>
      </c>
      <c r="O439" s="313">
        <f t="shared" si="293"/>
        <v>18338163.782400005</v>
      </c>
      <c r="P439" s="313">
        <f t="shared" si="294"/>
        <v>0</v>
      </c>
      <c r="Q439" s="313">
        <f t="shared" si="298"/>
        <v>18338163.782400005</v>
      </c>
      <c r="R439" s="244"/>
      <c r="S439" s="303">
        <f>+'MEMORIAS DE CANTIDADES'!L4164</f>
        <v>643.35599999999999</v>
      </c>
      <c r="T439" s="304">
        <f t="shared" si="296"/>
        <v>170104</v>
      </c>
      <c r="U439" s="501">
        <f t="shared" si="299"/>
        <v>109437429.024</v>
      </c>
    </row>
    <row r="440" spans="2:23" ht="30" customHeight="1">
      <c r="B440" s="80"/>
      <c r="C440" s="84">
        <v>6.7</v>
      </c>
      <c r="D440" s="97"/>
      <c r="E440" s="85"/>
      <c r="F440" s="97"/>
      <c r="G440" s="98" t="s">
        <v>89</v>
      </c>
      <c r="H440" s="97" t="s">
        <v>21</v>
      </c>
      <c r="I440" s="87">
        <v>453.58299999999997</v>
      </c>
      <c r="J440" s="88">
        <v>113273</v>
      </c>
      <c r="K440" s="140">
        <f t="shared" si="290"/>
        <v>51378707.158999994</v>
      </c>
      <c r="L440" s="315"/>
      <c r="M440" s="508">
        <f t="shared" si="291"/>
        <v>134.35699999999997</v>
      </c>
      <c r="N440" s="307">
        <f t="shared" si="292"/>
        <v>0</v>
      </c>
      <c r="O440" s="313">
        <f t="shared" si="293"/>
        <v>15219020.460999997</v>
      </c>
      <c r="P440" s="313">
        <f t="shared" si="294"/>
        <v>0</v>
      </c>
      <c r="Q440" s="313">
        <f t="shared" si="298"/>
        <v>15219020.460999997</v>
      </c>
      <c r="R440" s="244"/>
      <c r="S440" s="303">
        <f>+'MEMORIAS DE CANTIDADES'!L4179</f>
        <v>587.93999999999994</v>
      </c>
      <c r="T440" s="304">
        <f t="shared" si="296"/>
        <v>113273</v>
      </c>
      <c r="U440" s="501">
        <f t="shared" si="299"/>
        <v>66597727.61999999</v>
      </c>
    </row>
    <row r="441" spans="2:23" ht="30" customHeight="1">
      <c r="B441" s="80"/>
      <c r="C441" s="84">
        <v>6.8</v>
      </c>
      <c r="D441" s="97"/>
      <c r="E441" s="85"/>
      <c r="F441" s="97"/>
      <c r="G441" s="98" t="s">
        <v>49</v>
      </c>
      <c r="H441" s="97" t="s">
        <v>305</v>
      </c>
      <c r="I441" s="87">
        <v>18.312000000000001</v>
      </c>
      <c r="J441" s="88">
        <v>1547998</v>
      </c>
      <c r="K441" s="140">
        <f t="shared" si="290"/>
        <v>28346939.376000002</v>
      </c>
      <c r="L441" s="315"/>
      <c r="M441" s="508">
        <f t="shared" si="291"/>
        <v>4.495000000000001</v>
      </c>
      <c r="N441" s="307">
        <f t="shared" si="292"/>
        <v>0</v>
      </c>
      <c r="O441" s="313">
        <f t="shared" si="293"/>
        <v>6958251.0100000016</v>
      </c>
      <c r="P441" s="313">
        <f t="shared" si="294"/>
        <v>0</v>
      </c>
      <c r="Q441" s="313">
        <f t="shared" si="298"/>
        <v>6958251.0100000016</v>
      </c>
      <c r="R441" s="244"/>
      <c r="S441" s="303">
        <f>+'MEMORIAS DE CANTIDADES'!L4192</f>
        <v>22.807000000000002</v>
      </c>
      <c r="T441" s="304">
        <f t="shared" si="296"/>
        <v>1547998</v>
      </c>
      <c r="U441" s="501">
        <f t="shared" si="299"/>
        <v>35305190.386</v>
      </c>
    </row>
    <row r="442" spans="2:23" ht="30" customHeight="1">
      <c r="B442" s="80"/>
      <c r="C442" s="84">
        <v>6.9</v>
      </c>
      <c r="D442" s="97"/>
      <c r="E442" s="85"/>
      <c r="F442" s="97"/>
      <c r="G442" s="98" t="s">
        <v>90</v>
      </c>
      <c r="H442" s="97" t="s">
        <v>25</v>
      </c>
      <c r="I442" s="87">
        <v>45.036000000000008</v>
      </c>
      <c r="J442" s="88">
        <v>1302115</v>
      </c>
      <c r="K442" s="140">
        <f t="shared" si="290"/>
        <v>58642051.140000008</v>
      </c>
      <c r="L442" s="315"/>
      <c r="M442" s="508">
        <f t="shared" si="291"/>
        <v>42.403999999999989</v>
      </c>
      <c r="N442" s="307">
        <f t="shared" si="292"/>
        <v>0</v>
      </c>
      <c r="O442" s="313">
        <f t="shared" si="293"/>
        <v>55214884.459999986</v>
      </c>
      <c r="P442" s="313">
        <f t="shared" si="294"/>
        <v>0</v>
      </c>
      <c r="Q442" s="313">
        <f t="shared" si="298"/>
        <v>55214884.459999986</v>
      </c>
      <c r="R442" s="244"/>
      <c r="S442" s="303">
        <f>+'MEMORIAS DE CANTIDADES'!L4209</f>
        <v>87.44</v>
      </c>
      <c r="T442" s="304">
        <f t="shared" si="296"/>
        <v>1302115</v>
      </c>
      <c r="U442" s="501">
        <f t="shared" si="299"/>
        <v>113856935.59999999</v>
      </c>
    </row>
    <row r="443" spans="2:23" ht="30" customHeight="1">
      <c r="B443" s="80"/>
      <c r="C443" s="143" t="s">
        <v>845</v>
      </c>
      <c r="D443" s="95"/>
      <c r="E443" s="95"/>
      <c r="F443" s="95"/>
      <c r="G443" s="100" t="s">
        <v>308</v>
      </c>
      <c r="H443" s="95" t="s">
        <v>65</v>
      </c>
      <c r="I443" s="87">
        <v>553.15</v>
      </c>
      <c r="J443" s="101">
        <v>609602</v>
      </c>
      <c r="K443" s="140">
        <f t="shared" si="290"/>
        <v>337201346.30000001</v>
      </c>
      <c r="L443" s="315"/>
      <c r="M443" s="508">
        <f t="shared" si="291"/>
        <v>0</v>
      </c>
      <c r="N443" s="307">
        <f t="shared" si="292"/>
        <v>553.15</v>
      </c>
      <c r="O443" s="313">
        <f t="shared" si="293"/>
        <v>0</v>
      </c>
      <c r="P443" s="313">
        <f t="shared" si="294"/>
        <v>337201346.30000001</v>
      </c>
      <c r="Q443" s="313">
        <f t="shared" si="298"/>
        <v>-337201346.30000001</v>
      </c>
      <c r="R443" s="244"/>
      <c r="S443" s="303">
        <v>0</v>
      </c>
      <c r="T443" s="304">
        <f t="shared" si="296"/>
        <v>609602</v>
      </c>
      <c r="U443" s="501">
        <f t="shared" si="299"/>
        <v>0</v>
      </c>
    </row>
    <row r="444" spans="2:23" ht="90">
      <c r="B444" s="80"/>
      <c r="C444" s="90">
        <v>6.11</v>
      </c>
      <c r="D444" s="97"/>
      <c r="E444" s="85"/>
      <c r="F444" s="97"/>
      <c r="G444" s="98" t="s">
        <v>92</v>
      </c>
      <c r="H444" s="97" t="s">
        <v>21</v>
      </c>
      <c r="I444" s="87">
        <v>1140.4000000000001</v>
      </c>
      <c r="J444" s="88">
        <v>452099</v>
      </c>
      <c r="K444" s="140">
        <f t="shared" si="290"/>
        <v>515573699.60000002</v>
      </c>
      <c r="L444" s="315"/>
      <c r="M444" s="508">
        <f t="shared" si="291"/>
        <v>692.39999999999986</v>
      </c>
      <c r="N444" s="307">
        <f t="shared" si="292"/>
        <v>0</v>
      </c>
      <c r="O444" s="313">
        <f t="shared" si="293"/>
        <v>313033347.59999996</v>
      </c>
      <c r="P444" s="313">
        <f t="shared" si="294"/>
        <v>0</v>
      </c>
      <c r="Q444" s="313">
        <f t="shared" si="298"/>
        <v>313033347.59999996</v>
      </c>
      <c r="R444" s="244"/>
      <c r="S444" s="303">
        <f>+'MEMORIAS DE CANTIDADES'!L4237</f>
        <v>1832.8</v>
      </c>
      <c r="T444" s="304">
        <f t="shared" si="296"/>
        <v>452099</v>
      </c>
      <c r="U444" s="501">
        <f t="shared" si="299"/>
        <v>828607047.19999993</v>
      </c>
      <c r="V444" s="152"/>
      <c r="W444" s="112"/>
    </row>
    <row r="445" spans="2:23" ht="54" customHeight="1">
      <c r="B445" s="80"/>
      <c r="C445" s="90">
        <v>6.12</v>
      </c>
      <c r="D445" s="97"/>
      <c r="E445" s="85"/>
      <c r="F445" s="97"/>
      <c r="G445" s="98" t="s">
        <v>78</v>
      </c>
      <c r="H445" s="97" t="s">
        <v>21</v>
      </c>
      <c r="I445" s="87">
        <v>553.15</v>
      </c>
      <c r="J445" s="88">
        <v>41627</v>
      </c>
      <c r="K445" s="140">
        <f t="shared" si="290"/>
        <v>23025975.050000001</v>
      </c>
      <c r="L445" s="315"/>
      <c r="M445" s="508">
        <f t="shared" si="291"/>
        <v>1778.922</v>
      </c>
      <c r="N445" s="307">
        <f t="shared" si="292"/>
        <v>0</v>
      </c>
      <c r="O445" s="313">
        <f t="shared" si="293"/>
        <v>74051186.093999997</v>
      </c>
      <c r="P445" s="313">
        <f t="shared" si="294"/>
        <v>0</v>
      </c>
      <c r="Q445" s="313">
        <f t="shared" si="298"/>
        <v>74051186.093999997</v>
      </c>
      <c r="R445" s="244"/>
      <c r="S445" s="303">
        <f>+'MEMORIAS DE CANTIDADES'!L4252</f>
        <v>2332.0720000000001</v>
      </c>
      <c r="T445" s="304">
        <f t="shared" si="296"/>
        <v>41627</v>
      </c>
      <c r="U445" s="501">
        <f t="shared" si="299"/>
        <v>97077161.144000009</v>
      </c>
      <c r="V445" s="148"/>
    </row>
    <row r="446" spans="2:23" ht="30" customHeight="1">
      <c r="B446" s="80"/>
      <c r="C446" s="90">
        <v>6.13</v>
      </c>
      <c r="D446" s="97"/>
      <c r="E446" s="85"/>
      <c r="F446" s="97"/>
      <c r="G446" s="98" t="s">
        <v>93</v>
      </c>
      <c r="H446" s="97" t="s">
        <v>21</v>
      </c>
      <c r="I446" s="87">
        <v>2480.8999999999996</v>
      </c>
      <c r="J446" s="88">
        <v>16965</v>
      </c>
      <c r="K446" s="140">
        <f t="shared" si="290"/>
        <v>42088468.499999993</v>
      </c>
      <c r="L446" s="315"/>
      <c r="M446" s="508">
        <f t="shared" si="291"/>
        <v>327.70000000000073</v>
      </c>
      <c r="N446" s="307">
        <f t="shared" si="292"/>
        <v>0</v>
      </c>
      <c r="O446" s="313">
        <f t="shared" si="293"/>
        <v>5559430.5000000121</v>
      </c>
      <c r="P446" s="313">
        <f t="shared" si="294"/>
        <v>0</v>
      </c>
      <c r="Q446" s="313">
        <f t="shared" si="298"/>
        <v>5559430.5000000121</v>
      </c>
      <c r="R446" s="244"/>
      <c r="S446" s="303">
        <f>+'MEMORIAS DE CANTIDADES'!L4266</f>
        <v>2808.6000000000004</v>
      </c>
      <c r="T446" s="304">
        <f t="shared" si="296"/>
        <v>16965</v>
      </c>
      <c r="U446" s="501">
        <f t="shared" si="299"/>
        <v>47647899.000000007</v>
      </c>
    </row>
    <row r="447" spans="2:23" ht="30" customHeight="1" thickBot="1">
      <c r="B447" s="80"/>
      <c r="C447" s="103" t="s">
        <v>8</v>
      </c>
      <c r="D447" s="592"/>
      <c r="E447" s="592"/>
      <c r="F447" s="592"/>
      <c r="G447" s="593"/>
      <c r="H447" s="592"/>
      <c r="I447" s="507"/>
      <c r="J447" s="104"/>
      <c r="K447" s="142">
        <f>SUM(K434:K446)</f>
        <v>1427465935.8413498</v>
      </c>
      <c r="L447" s="325"/>
      <c r="M447" s="319"/>
      <c r="N447" s="319"/>
      <c r="O447" s="308">
        <f>SUM(O434:O446)</f>
        <v>506855829.84389997</v>
      </c>
      <c r="P447" s="308">
        <f t="shared" ref="P447" si="300">SUM(P434:P446)</f>
        <v>495496359.36125004</v>
      </c>
      <c r="Q447" s="308">
        <f>SUM(Q434:Q446)</f>
        <v>11359470.482649948</v>
      </c>
      <c r="R447" s="244"/>
      <c r="S447" s="309"/>
      <c r="T447" s="309"/>
      <c r="U447" s="506">
        <f>SUM(U434:U446)</f>
        <v>1438825406.3239999</v>
      </c>
      <c r="V447" s="112"/>
    </row>
    <row r="448" spans="2:23" ht="30" customHeight="1" thickBot="1">
      <c r="B448" s="80"/>
      <c r="C448" s="886" t="s">
        <v>95</v>
      </c>
      <c r="D448" s="887"/>
      <c r="E448" s="887"/>
      <c r="F448" s="887"/>
      <c r="G448" s="887"/>
      <c r="H448" s="887"/>
      <c r="I448" s="887"/>
      <c r="J448" s="887"/>
      <c r="K448" s="887"/>
      <c r="L448" s="889"/>
      <c r="M448" s="887"/>
      <c r="N448" s="887"/>
      <c r="O448" s="920"/>
      <c r="P448" s="920"/>
      <c r="Q448" s="920"/>
      <c r="R448" s="589"/>
      <c r="S448" s="589"/>
      <c r="T448" s="589"/>
      <c r="U448" s="500"/>
    </row>
    <row r="449" spans="2:22" ht="30" customHeight="1">
      <c r="B449" s="80"/>
      <c r="C449" s="84">
        <v>7.1</v>
      </c>
      <c r="D449" s="247"/>
      <c r="E449" s="247"/>
      <c r="F449" s="247"/>
      <c r="G449" s="258" t="s">
        <v>96</v>
      </c>
      <c r="H449" s="247" t="s">
        <v>21</v>
      </c>
      <c r="I449" s="249">
        <v>1486.9749999999999</v>
      </c>
      <c r="J449" s="246">
        <v>328602</v>
      </c>
      <c r="K449" s="140">
        <f>I449*J449</f>
        <v>488622958.94999999</v>
      </c>
      <c r="L449" s="314"/>
      <c r="M449" s="508">
        <f>+IF(I449&lt;S449,S449-I449,0)</f>
        <v>0</v>
      </c>
      <c r="N449" s="307">
        <f>+IF(I449&gt;S449,-S449+I449,0)</f>
        <v>628.57499999999993</v>
      </c>
      <c r="O449" s="313">
        <f>+M449*J449</f>
        <v>0</v>
      </c>
      <c r="P449" s="313">
        <f>+N449*J449</f>
        <v>206551002.14999998</v>
      </c>
      <c r="Q449" s="313">
        <f t="shared" ref="Q449" si="301">+O449-P449</f>
        <v>-206551002.14999998</v>
      </c>
      <c r="R449" s="326"/>
      <c r="S449" s="303">
        <v>858.4</v>
      </c>
      <c r="T449" s="304">
        <f>+J449</f>
        <v>328602</v>
      </c>
      <c r="U449" s="501">
        <f>+S449*T449</f>
        <v>282071956.80000001</v>
      </c>
    </row>
    <row r="450" spans="2:22" ht="30" customHeight="1">
      <c r="B450" s="80"/>
      <c r="C450" s="84">
        <v>7.2</v>
      </c>
      <c r="D450" s="85"/>
      <c r="E450" s="85"/>
      <c r="F450" s="85"/>
      <c r="G450" s="94" t="s">
        <v>97</v>
      </c>
      <c r="H450" s="85" t="s">
        <v>21</v>
      </c>
      <c r="I450" s="87">
        <v>52</v>
      </c>
      <c r="J450" s="88">
        <v>165772</v>
      </c>
      <c r="K450" s="140">
        <f>I450*J450</f>
        <v>8620144</v>
      </c>
      <c r="L450" s="315"/>
      <c r="M450" s="508">
        <f>+IF(I450&lt;S450,S450-I450,0)</f>
        <v>0</v>
      </c>
      <c r="N450" s="307">
        <f>+IF(I450&gt;S450,-S450+I450,0)</f>
        <v>52</v>
      </c>
      <c r="O450" s="313">
        <f>+M450*J450</f>
        <v>0</v>
      </c>
      <c r="P450" s="313">
        <f>+N450*J450</f>
        <v>8620144</v>
      </c>
      <c r="Q450" s="313">
        <f t="shared" ref="Q450:Q451" si="302">+O450-P450</f>
        <v>-8620144</v>
      </c>
      <c r="R450" s="321"/>
      <c r="S450" s="303">
        <v>0</v>
      </c>
      <c r="T450" s="304">
        <f>+J450</f>
        <v>165772</v>
      </c>
      <c r="U450" s="501">
        <f t="shared" ref="U450" si="303">+S450*T450</f>
        <v>0</v>
      </c>
    </row>
    <row r="451" spans="2:22" ht="30" customHeight="1">
      <c r="B451" s="80"/>
      <c r="C451" s="84">
        <v>7.3</v>
      </c>
      <c r="D451" s="95"/>
      <c r="E451" s="95"/>
      <c r="F451" s="95"/>
      <c r="G451" s="96" t="s">
        <v>98</v>
      </c>
      <c r="H451" s="95" t="s">
        <v>21</v>
      </c>
      <c r="I451" s="87">
        <v>786.25</v>
      </c>
      <c r="J451" s="88">
        <v>74227</v>
      </c>
      <c r="K451" s="140">
        <f>I451*J451</f>
        <v>58360978.75</v>
      </c>
      <c r="L451" s="315"/>
      <c r="M451" s="508">
        <f>+IF(I451&lt;S451,S451-I451,0)</f>
        <v>210.47000000000003</v>
      </c>
      <c r="N451" s="307">
        <f>+IF(I451&gt;S451,-S451+I451,0)</f>
        <v>0</v>
      </c>
      <c r="O451" s="313">
        <f>+M451*J451</f>
        <v>15622556.690000001</v>
      </c>
      <c r="P451" s="313">
        <f>+N451*J451</f>
        <v>0</v>
      </c>
      <c r="Q451" s="313">
        <f t="shared" si="302"/>
        <v>15622556.690000001</v>
      </c>
      <c r="R451" s="321"/>
      <c r="S451" s="303">
        <f>+'MEMORIAS DE CANTIDADES'!L4308</f>
        <v>996.72</v>
      </c>
      <c r="T451" s="304">
        <f>+J451</f>
        <v>74227</v>
      </c>
      <c r="U451" s="501">
        <f>+S451*T451</f>
        <v>73983535.439999998</v>
      </c>
    </row>
    <row r="452" spans="2:22" ht="30" customHeight="1" thickBot="1">
      <c r="B452" s="80"/>
      <c r="C452" s="259" t="s">
        <v>8</v>
      </c>
      <c r="I452" s="507"/>
      <c r="K452" s="142">
        <f>SUM(K449:K451)</f>
        <v>555604081.70000005</v>
      </c>
      <c r="L452" s="325"/>
      <c r="M452" s="319"/>
      <c r="N452" s="319"/>
      <c r="O452" s="308">
        <v>0</v>
      </c>
      <c r="P452" s="308">
        <f t="shared" ref="P452" si="304">SUM(P449:P451)</f>
        <v>215171146.14999998</v>
      </c>
      <c r="Q452" s="308">
        <f>SUM(Q449:Q451)</f>
        <v>-199548589.45999998</v>
      </c>
      <c r="R452" s="327"/>
      <c r="S452" s="309"/>
      <c r="T452" s="309"/>
      <c r="U452" s="506">
        <f>SUM(U449:U451)</f>
        <v>356055492.24000001</v>
      </c>
      <c r="V452" s="112"/>
    </row>
    <row r="453" spans="2:22" ht="30" customHeight="1" thickBot="1">
      <c r="B453" s="80"/>
      <c r="C453" s="886" t="s">
        <v>99</v>
      </c>
      <c r="D453" s="887"/>
      <c r="E453" s="887"/>
      <c r="F453" s="887"/>
      <c r="G453" s="887"/>
      <c r="H453" s="887"/>
      <c r="I453" s="887"/>
      <c r="J453" s="887"/>
      <c r="K453" s="887"/>
      <c r="L453" s="889"/>
      <c r="M453" s="887"/>
      <c r="N453" s="887"/>
      <c r="O453" s="920"/>
      <c r="P453" s="920"/>
      <c r="Q453" s="920"/>
      <c r="R453" s="589"/>
      <c r="S453" s="589"/>
      <c r="T453" s="589"/>
      <c r="U453" s="500"/>
    </row>
    <row r="454" spans="2:22" ht="30" customHeight="1">
      <c r="B454" s="80"/>
      <c r="C454" s="84">
        <v>8.1</v>
      </c>
      <c r="D454" s="251"/>
      <c r="E454" s="251"/>
      <c r="F454" s="251"/>
      <c r="G454" s="252" t="s">
        <v>20</v>
      </c>
      <c r="H454" s="251" t="s">
        <v>65</v>
      </c>
      <c r="I454" s="249">
        <v>534</v>
      </c>
      <c r="J454" s="246">
        <v>2898</v>
      </c>
      <c r="K454" s="140">
        <f t="shared" ref="K454:K485" si="305">I454*J454</f>
        <v>1547532</v>
      </c>
      <c r="L454" s="314"/>
      <c r="M454" s="508">
        <f t="shared" ref="M454:M485" si="306">+IF(I454&lt;S454,S454-I454,0)</f>
        <v>102</v>
      </c>
      <c r="N454" s="307">
        <f t="shared" ref="N454:N485" si="307">+IF(I454&gt;S454,-S454+I454,0)</f>
        <v>0</v>
      </c>
      <c r="O454" s="313">
        <f t="shared" ref="O454:O485" si="308">+M454*J454</f>
        <v>295596</v>
      </c>
      <c r="P454" s="313">
        <f t="shared" ref="P454:P485" si="309">+N454*J454</f>
        <v>0</v>
      </c>
      <c r="Q454" s="313">
        <f t="shared" ref="Q454" si="310">+O454-P454</f>
        <v>295596</v>
      </c>
      <c r="R454" s="244"/>
      <c r="S454" s="249">
        <v>636</v>
      </c>
      <c r="T454" s="304">
        <f t="shared" ref="T454:T485" si="311">+J454</f>
        <v>2898</v>
      </c>
      <c r="U454" s="501">
        <f>+S454*T454</f>
        <v>1843128</v>
      </c>
    </row>
    <row r="455" spans="2:22" ht="30" customHeight="1">
      <c r="B455" s="80"/>
      <c r="C455" s="84">
        <v>8.1999999999999993</v>
      </c>
      <c r="D455" s="99"/>
      <c r="E455" s="99"/>
      <c r="F455" s="99"/>
      <c r="G455" s="98" t="s">
        <v>100</v>
      </c>
      <c r="H455" s="97" t="s">
        <v>305</v>
      </c>
      <c r="I455" s="87">
        <v>175.64785000000001</v>
      </c>
      <c r="J455" s="88">
        <v>83705</v>
      </c>
      <c r="K455" s="140">
        <f t="shared" si="305"/>
        <v>14702603.28425</v>
      </c>
      <c r="L455" s="315"/>
      <c r="M455" s="508">
        <f t="shared" si="306"/>
        <v>72.00215</v>
      </c>
      <c r="N455" s="307">
        <f t="shared" si="307"/>
        <v>0</v>
      </c>
      <c r="O455" s="313">
        <f t="shared" si="308"/>
        <v>6026939.9657500004</v>
      </c>
      <c r="P455" s="313">
        <f t="shared" si="309"/>
        <v>0</v>
      </c>
      <c r="Q455" s="313">
        <f t="shared" ref="Q455:Q518" si="312">+O455-P455</f>
        <v>6026939.9657500004</v>
      </c>
      <c r="R455" s="244"/>
      <c r="S455" s="87">
        <f>175.65+72</f>
        <v>247.65</v>
      </c>
      <c r="T455" s="304">
        <f t="shared" si="311"/>
        <v>83705</v>
      </c>
      <c r="U455" s="501">
        <f t="shared" ref="U455:U518" si="313">+S455*T455</f>
        <v>20729543.25</v>
      </c>
    </row>
    <row r="456" spans="2:22" ht="30" customHeight="1">
      <c r="B456" s="80"/>
      <c r="C456" s="84">
        <v>8.3000000000000007</v>
      </c>
      <c r="D456" s="97"/>
      <c r="E456" s="97"/>
      <c r="F456" s="97"/>
      <c r="G456" s="98" t="s">
        <v>101</v>
      </c>
      <c r="H456" s="97" t="s">
        <v>305</v>
      </c>
      <c r="I456" s="87">
        <v>59.646156219401675</v>
      </c>
      <c r="J456" s="88">
        <v>124019</v>
      </c>
      <c r="K456" s="140">
        <f t="shared" si="305"/>
        <v>7397256.6481739767</v>
      </c>
      <c r="L456" s="315"/>
      <c r="M456" s="508">
        <f t="shared" si="306"/>
        <v>24.653843780598322</v>
      </c>
      <c r="N456" s="307">
        <f t="shared" si="307"/>
        <v>0</v>
      </c>
      <c r="O456" s="313">
        <f t="shared" si="308"/>
        <v>3057545.0518260235</v>
      </c>
      <c r="P456" s="313">
        <f t="shared" si="309"/>
        <v>0</v>
      </c>
      <c r="Q456" s="313">
        <f t="shared" si="312"/>
        <v>3057545.0518260235</v>
      </c>
      <c r="R456" s="244"/>
      <c r="S456" s="87">
        <v>84.3</v>
      </c>
      <c r="T456" s="304">
        <f t="shared" si="311"/>
        <v>124019</v>
      </c>
      <c r="U456" s="501">
        <f t="shared" si="313"/>
        <v>10454801.699999999</v>
      </c>
    </row>
    <row r="457" spans="2:22" ht="30" customHeight="1">
      <c r="B457" s="80"/>
      <c r="C457" s="84">
        <v>8.4</v>
      </c>
      <c r="D457" s="95"/>
      <c r="E457" s="95"/>
      <c r="F457" s="95"/>
      <c r="G457" s="100" t="s">
        <v>102</v>
      </c>
      <c r="H457" s="95" t="s">
        <v>305</v>
      </c>
      <c r="I457" s="87">
        <v>101.15066999999999</v>
      </c>
      <c r="J457" s="88">
        <v>24249</v>
      </c>
      <c r="K457" s="140">
        <f t="shared" si="305"/>
        <v>2452802.5968299997</v>
      </c>
      <c r="L457" s="315"/>
      <c r="M457" s="508">
        <f t="shared" si="306"/>
        <v>27.249330000000015</v>
      </c>
      <c r="N457" s="307">
        <f t="shared" si="307"/>
        <v>0</v>
      </c>
      <c r="O457" s="313">
        <f t="shared" si="308"/>
        <v>660769.00317000039</v>
      </c>
      <c r="P457" s="313">
        <f t="shared" si="309"/>
        <v>0</v>
      </c>
      <c r="Q457" s="313">
        <f t="shared" si="312"/>
        <v>660769.00317000039</v>
      </c>
      <c r="R457" s="244"/>
      <c r="S457" s="87">
        <v>128.4</v>
      </c>
      <c r="T457" s="304">
        <f t="shared" si="311"/>
        <v>24249</v>
      </c>
      <c r="U457" s="501">
        <f t="shared" si="313"/>
        <v>3113571.6</v>
      </c>
    </row>
    <row r="458" spans="2:22" ht="30" customHeight="1">
      <c r="B458" s="80"/>
      <c r="C458" s="84">
        <v>8.5</v>
      </c>
      <c r="D458" s="97"/>
      <c r="E458" s="97"/>
      <c r="F458" s="97"/>
      <c r="G458" s="98" t="s">
        <v>309</v>
      </c>
      <c r="H458" s="97" t="s">
        <v>65</v>
      </c>
      <c r="I458" s="87">
        <v>242</v>
      </c>
      <c r="J458" s="101">
        <v>25020</v>
      </c>
      <c r="K458" s="140">
        <f t="shared" si="305"/>
        <v>6054840</v>
      </c>
      <c r="L458" s="315"/>
      <c r="M458" s="508">
        <f t="shared" si="306"/>
        <v>54</v>
      </c>
      <c r="N458" s="307">
        <f t="shared" si="307"/>
        <v>0</v>
      </c>
      <c r="O458" s="313">
        <f t="shared" si="308"/>
        <v>1351080</v>
      </c>
      <c r="P458" s="313">
        <f t="shared" si="309"/>
        <v>0</v>
      </c>
      <c r="Q458" s="313">
        <f t="shared" si="312"/>
        <v>1351080</v>
      </c>
      <c r="R458" s="244"/>
      <c r="S458" s="87">
        <v>296</v>
      </c>
      <c r="T458" s="304">
        <f t="shared" si="311"/>
        <v>25020</v>
      </c>
      <c r="U458" s="501">
        <f t="shared" si="313"/>
        <v>7405920</v>
      </c>
    </row>
    <row r="459" spans="2:22" ht="30" customHeight="1">
      <c r="B459" s="80"/>
      <c r="C459" s="84">
        <v>8.6</v>
      </c>
      <c r="D459" s="95"/>
      <c r="E459" s="95"/>
      <c r="F459" s="95"/>
      <c r="G459" s="100" t="s">
        <v>310</v>
      </c>
      <c r="H459" s="95" t="s">
        <v>65</v>
      </c>
      <c r="I459" s="87">
        <v>191</v>
      </c>
      <c r="J459" s="101">
        <v>48983</v>
      </c>
      <c r="K459" s="140">
        <f t="shared" si="305"/>
        <v>9355753</v>
      </c>
      <c r="L459" s="315"/>
      <c r="M459" s="508">
        <f t="shared" si="306"/>
        <v>83</v>
      </c>
      <c r="N459" s="307">
        <f t="shared" si="307"/>
        <v>0</v>
      </c>
      <c r="O459" s="313">
        <f t="shared" si="308"/>
        <v>4065589</v>
      </c>
      <c r="P459" s="313">
        <f t="shared" si="309"/>
        <v>0</v>
      </c>
      <c r="Q459" s="313">
        <f t="shared" si="312"/>
        <v>4065589</v>
      </c>
      <c r="R459" s="244"/>
      <c r="S459" s="87">
        <v>274</v>
      </c>
      <c r="T459" s="304">
        <f t="shared" si="311"/>
        <v>48983</v>
      </c>
      <c r="U459" s="501">
        <f t="shared" si="313"/>
        <v>13421342</v>
      </c>
    </row>
    <row r="460" spans="2:22" ht="30" customHeight="1">
      <c r="B460" s="80"/>
      <c r="C460" s="84">
        <v>8.6999999999999993</v>
      </c>
      <c r="D460" s="97"/>
      <c r="E460" s="85"/>
      <c r="F460" s="97"/>
      <c r="G460" s="98" t="s">
        <v>311</v>
      </c>
      <c r="H460" s="97" t="s">
        <v>65</v>
      </c>
      <c r="I460" s="87">
        <f>327.3</f>
        <v>327.3</v>
      </c>
      <c r="J460" s="88">
        <v>61091</v>
      </c>
      <c r="K460" s="140">
        <f t="shared" si="305"/>
        <v>19995084.300000001</v>
      </c>
      <c r="L460" s="315"/>
      <c r="M460" s="508">
        <f t="shared" si="306"/>
        <v>48.699999999999989</v>
      </c>
      <c r="N460" s="307">
        <f t="shared" si="307"/>
        <v>0</v>
      </c>
      <c r="O460" s="313">
        <f t="shared" si="308"/>
        <v>2975131.6999999993</v>
      </c>
      <c r="P460" s="313">
        <f t="shared" si="309"/>
        <v>0</v>
      </c>
      <c r="Q460" s="313">
        <f t="shared" si="312"/>
        <v>2975131.6999999993</v>
      </c>
      <c r="R460" s="244"/>
      <c r="S460" s="87">
        <v>376</v>
      </c>
      <c r="T460" s="304">
        <f t="shared" si="311"/>
        <v>61091</v>
      </c>
      <c r="U460" s="501">
        <f t="shared" si="313"/>
        <v>22970216</v>
      </c>
    </row>
    <row r="461" spans="2:22" ht="30" customHeight="1">
      <c r="B461" s="80"/>
      <c r="C461" s="84">
        <v>8.8000000000000007</v>
      </c>
      <c r="D461" s="97"/>
      <c r="E461" s="85"/>
      <c r="F461" s="97"/>
      <c r="G461" s="98" t="s">
        <v>312</v>
      </c>
      <c r="H461" s="97" t="s">
        <v>65</v>
      </c>
      <c r="I461" s="87">
        <v>101</v>
      </c>
      <c r="J461" s="88">
        <v>29285</v>
      </c>
      <c r="K461" s="140">
        <f t="shared" si="305"/>
        <v>2957785</v>
      </c>
      <c r="L461" s="315"/>
      <c r="M461" s="508">
        <f t="shared" si="306"/>
        <v>32</v>
      </c>
      <c r="N461" s="307">
        <f t="shared" si="307"/>
        <v>0</v>
      </c>
      <c r="O461" s="313">
        <f t="shared" si="308"/>
        <v>937120</v>
      </c>
      <c r="P461" s="313">
        <f t="shared" si="309"/>
        <v>0</v>
      </c>
      <c r="Q461" s="313">
        <f t="shared" si="312"/>
        <v>937120</v>
      </c>
      <c r="R461" s="244"/>
      <c r="S461" s="87">
        <v>133</v>
      </c>
      <c r="T461" s="304">
        <f t="shared" si="311"/>
        <v>29285</v>
      </c>
      <c r="U461" s="501">
        <f t="shared" si="313"/>
        <v>3894905</v>
      </c>
    </row>
    <row r="462" spans="2:22" ht="30" customHeight="1">
      <c r="B462" s="80"/>
      <c r="C462" s="84">
        <v>8.9</v>
      </c>
      <c r="D462" s="97"/>
      <c r="E462" s="85"/>
      <c r="F462" s="97"/>
      <c r="G462" s="98" t="s">
        <v>313</v>
      </c>
      <c r="H462" s="97" t="s">
        <v>29</v>
      </c>
      <c r="I462" s="87">
        <v>84</v>
      </c>
      <c r="J462" s="88">
        <v>22262</v>
      </c>
      <c r="K462" s="140">
        <f t="shared" si="305"/>
        <v>1870008</v>
      </c>
      <c r="L462" s="315"/>
      <c r="M462" s="508">
        <f t="shared" si="306"/>
        <v>0</v>
      </c>
      <c r="N462" s="307">
        <f t="shared" si="307"/>
        <v>0</v>
      </c>
      <c r="O462" s="313">
        <f t="shared" si="308"/>
        <v>0</v>
      </c>
      <c r="P462" s="313">
        <f t="shared" si="309"/>
        <v>0</v>
      </c>
      <c r="Q462" s="313">
        <f t="shared" si="312"/>
        <v>0</v>
      </c>
      <c r="R462" s="244"/>
      <c r="S462" s="87">
        <v>84</v>
      </c>
      <c r="T462" s="304">
        <f t="shared" si="311"/>
        <v>22262</v>
      </c>
      <c r="U462" s="501">
        <f t="shared" si="313"/>
        <v>1870008</v>
      </c>
    </row>
    <row r="463" spans="2:22" ht="30" customHeight="1">
      <c r="B463" s="80"/>
      <c r="C463" s="90">
        <v>8.1</v>
      </c>
      <c r="D463" s="97"/>
      <c r="E463" s="85"/>
      <c r="F463" s="97"/>
      <c r="G463" s="98" t="s">
        <v>314</v>
      </c>
      <c r="H463" s="97" t="s">
        <v>29</v>
      </c>
      <c r="I463" s="87">
        <v>220</v>
      </c>
      <c r="J463" s="88">
        <v>18070</v>
      </c>
      <c r="K463" s="140">
        <f t="shared" si="305"/>
        <v>3975400</v>
      </c>
      <c r="L463" s="315"/>
      <c r="M463" s="508">
        <f t="shared" si="306"/>
        <v>0</v>
      </c>
      <c r="N463" s="307">
        <f t="shared" si="307"/>
        <v>0</v>
      </c>
      <c r="O463" s="313">
        <f t="shared" si="308"/>
        <v>0</v>
      </c>
      <c r="P463" s="313">
        <f t="shared" si="309"/>
        <v>0</v>
      </c>
      <c r="Q463" s="313">
        <f t="shared" si="312"/>
        <v>0</v>
      </c>
      <c r="R463" s="244"/>
      <c r="S463" s="87">
        <v>220</v>
      </c>
      <c r="T463" s="304">
        <f t="shared" si="311"/>
        <v>18070</v>
      </c>
      <c r="U463" s="501">
        <f t="shared" si="313"/>
        <v>3975400</v>
      </c>
    </row>
    <row r="464" spans="2:22" ht="30" customHeight="1">
      <c r="B464" s="80"/>
      <c r="C464" s="90">
        <v>8.11</v>
      </c>
      <c r="D464" s="97"/>
      <c r="E464" s="97"/>
      <c r="F464" s="97"/>
      <c r="G464" s="98" t="s">
        <v>315</v>
      </c>
      <c r="H464" s="102" t="s">
        <v>29</v>
      </c>
      <c r="I464" s="87">
        <v>51</v>
      </c>
      <c r="J464" s="88">
        <v>33413</v>
      </c>
      <c r="K464" s="140">
        <f t="shared" si="305"/>
        <v>1704063</v>
      </c>
      <c r="L464" s="315"/>
      <c r="M464" s="508">
        <f t="shared" si="306"/>
        <v>0</v>
      </c>
      <c r="N464" s="307">
        <f t="shared" si="307"/>
        <v>0</v>
      </c>
      <c r="O464" s="313">
        <f t="shared" si="308"/>
        <v>0</v>
      </c>
      <c r="P464" s="313">
        <f t="shared" si="309"/>
        <v>0</v>
      </c>
      <c r="Q464" s="313">
        <f t="shared" si="312"/>
        <v>0</v>
      </c>
      <c r="R464" s="244"/>
      <c r="S464" s="87">
        <v>51</v>
      </c>
      <c r="T464" s="304">
        <f t="shared" si="311"/>
        <v>33413</v>
      </c>
      <c r="U464" s="501">
        <f t="shared" si="313"/>
        <v>1704063</v>
      </c>
    </row>
    <row r="465" spans="2:21" ht="30" customHeight="1">
      <c r="B465" s="80"/>
      <c r="C465" s="90">
        <v>8.1199999999999992</v>
      </c>
      <c r="D465" s="97"/>
      <c r="E465" s="97"/>
      <c r="F465" s="97"/>
      <c r="G465" s="98" t="s">
        <v>316</v>
      </c>
      <c r="H465" s="102" t="s">
        <v>29</v>
      </c>
      <c r="I465" s="87">
        <v>72</v>
      </c>
      <c r="J465" s="88">
        <v>31430</v>
      </c>
      <c r="K465" s="140">
        <f t="shared" si="305"/>
        <v>2262960</v>
      </c>
      <c r="L465" s="315"/>
      <c r="M465" s="508">
        <f t="shared" si="306"/>
        <v>0</v>
      </c>
      <c r="N465" s="307">
        <f t="shared" si="307"/>
        <v>0</v>
      </c>
      <c r="O465" s="313">
        <f t="shared" si="308"/>
        <v>0</v>
      </c>
      <c r="P465" s="313">
        <f t="shared" si="309"/>
        <v>0</v>
      </c>
      <c r="Q465" s="313">
        <f t="shared" si="312"/>
        <v>0</v>
      </c>
      <c r="R465" s="244"/>
      <c r="S465" s="87">
        <v>72</v>
      </c>
      <c r="T465" s="304">
        <f t="shared" si="311"/>
        <v>31430</v>
      </c>
      <c r="U465" s="501">
        <f t="shared" si="313"/>
        <v>2262960</v>
      </c>
    </row>
    <row r="466" spans="2:21" ht="30" customHeight="1">
      <c r="B466" s="80"/>
      <c r="C466" s="90">
        <v>8.1300000000000008</v>
      </c>
      <c r="D466" s="97"/>
      <c r="E466" s="97"/>
      <c r="F466" s="97"/>
      <c r="G466" s="98" t="s">
        <v>317</v>
      </c>
      <c r="H466" s="102" t="s">
        <v>29</v>
      </c>
      <c r="I466" s="87">
        <v>9</v>
      </c>
      <c r="J466" s="88">
        <v>26450</v>
      </c>
      <c r="K466" s="140">
        <f t="shared" si="305"/>
        <v>238050</v>
      </c>
      <c r="L466" s="315"/>
      <c r="M466" s="508">
        <f t="shared" si="306"/>
        <v>0</v>
      </c>
      <c r="N466" s="307">
        <f t="shared" si="307"/>
        <v>0</v>
      </c>
      <c r="O466" s="313">
        <f t="shared" si="308"/>
        <v>0</v>
      </c>
      <c r="P466" s="313">
        <f t="shared" si="309"/>
        <v>0</v>
      </c>
      <c r="Q466" s="313">
        <f t="shared" si="312"/>
        <v>0</v>
      </c>
      <c r="R466" s="244"/>
      <c r="S466" s="87">
        <v>9</v>
      </c>
      <c r="T466" s="304">
        <f t="shared" si="311"/>
        <v>26450</v>
      </c>
      <c r="U466" s="501">
        <f t="shared" si="313"/>
        <v>238050</v>
      </c>
    </row>
    <row r="467" spans="2:21" ht="30" customHeight="1">
      <c r="B467" s="80"/>
      <c r="C467" s="90">
        <v>8.14</v>
      </c>
      <c r="D467" s="97"/>
      <c r="E467" s="97"/>
      <c r="F467" s="97"/>
      <c r="G467" s="98" t="s">
        <v>318</v>
      </c>
      <c r="H467" s="102" t="s">
        <v>29</v>
      </c>
      <c r="I467" s="87">
        <v>57</v>
      </c>
      <c r="J467" s="88">
        <v>25449</v>
      </c>
      <c r="K467" s="140">
        <f t="shared" si="305"/>
        <v>1450593</v>
      </c>
      <c r="L467" s="315"/>
      <c r="M467" s="508">
        <f t="shared" si="306"/>
        <v>0</v>
      </c>
      <c r="N467" s="307">
        <f t="shared" si="307"/>
        <v>0</v>
      </c>
      <c r="O467" s="313">
        <f t="shared" si="308"/>
        <v>0</v>
      </c>
      <c r="P467" s="313">
        <f t="shared" si="309"/>
        <v>0</v>
      </c>
      <c r="Q467" s="313">
        <f t="shared" si="312"/>
        <v>0</v>
      </c>
      <c r="R467" s="244"/>
      <c r="S467" s="87">
        <v>57</v>
      </c>
      <c r="T467" s="304">
        <f t="shared" si="311"/>
        <v>25449</v>
      </c>
      <c r="U467" s="501">
        <f t="shared" si="313"/>
        <v>1450593</v>
      </c>
    </row>
    <row r="468" spans="2:21" ht="30" customHeight="1">
      <c r="B468" s="80"/>
      <c r="C468" s="90">
        <v>8.15</v>
      </c>
      <c r="D468" s="97"/>
      <c r="E468" s="97"/>
      <c r="F468" s="97"/>
      <c r="G468" s="98" t="s">
        <v>319</v>
      </c>
      <c r="H468" s="102" t="s">
        <v>29</v>
      </c>
      <c r="I468" s="87">
        <v>17</v>
      </c>
      <c r="J468" s="88">
        <v>12813</v>
      </c>
      <c r="K468" s="140">
        <f t="shared" si="305"/>
        <v>217821</v>
      </c>
      <c r="L468" s="315"/>
      <c r="M468" s="508">
        <f t="shared" si="306"/>
        <v>0</v>
      </c>
      <c r="N468" s="307">
        <f t="shared" si="307"/>
        <v>0</v>
      </c>
      <c r="O468" s="313">
        <f t="shared" si="308"/>
        <v>0</v>
      </c>
      <c r="P468" s="313">
        <f t="shared" si="309"/>
        <v>0</v>
      </c>
      <c r="Q468" s="313">
        <f t="shared" si="312"/>
        <v>0</v>
      </c>
      <c r="R468" s="244"/>
      <c r="S468" s="87">
        <v>17</v>
      </c>
      <c r="T468" s="304">
        <f t="shared" si="311"/>
        <v>12813</v>
      </c>
      <c r="U468" s="501">
        <f t="shared" si="313"/>
        <v>217821</v>
      </c>
    </row>
    <row r="469" spans="2:21" ht="30" customHeight="1">
      <c r="B469" s="80"/>
      <c r="C469" s="90">
        <v>8.1600000000000108</v>
      </c>
      <c r="D469" s="97"/>
      <c r="E469" s="97"/>
      <c r="F469" s="97"/>
      <c r="G469" s="98" t="s">
        <v>320</v>
      </c>
      <c r="H469" s="102" t="s">
        <v>29</v>
      </c>
      <c r="I469" s="87">
        <v>5</v>
      </c>
      <c r="J469" s="88">
        <v>12813</v>
      </c>
      <c r="K469" s="140">
        <f t="shared" si="305"/>
        <v>64065</v>
      </c>
      <c r="L469" s="315"/>
      <c r="M469" s="508">
        <f t="shared" si="306"/>
        <v>0</v>
      </c>
      <c r="N469" s="307">
        <f t="shared" si="307"/>
        <v>0</v>
      </c>
      <c r="O469" s="313">
        <f t="shared" si="308"/>
        <v>0</v>
      </c>
      <c r="P469" s="313">
        <f t="shared" si="309"/>
        <v>0</v>
      </c>
      <c r="Q469" s="313">
        <f t="shared" si="312"/>
        <v>0</v>
      </c>
      <c r="R469" s="244"/>
      <c r="S469" s="87">
        <v>5</v>
      </c>
      <c r="T469" s="304">
        <f t="shared" si="311"/>
        <v>12813</v>
      </c>
      <c r="U469" s="501">
        <f t="shared" si="313"/>
        <v>64065</v>
      </c>
    </row>
    <row r="470" spans="2:21" ht="30" customHeight="1">
      <c r="B470" s="80"/>
      <c r="C470" s="90">
        <v>8.1700000000000106</v>
      </c>
      <c r="D470" s="97"/>
      <c r="E470" s="97"/>
      <c r="F470" s="97"/>
      <c r="G470" s="98" t="s">
        <v>321</v>
      </c>
      <c r="H470" s="102" t="s">
        <v>29</v>
      </c>
      <c r="I470" s="87">
        <v>123</v>
      </c>
      <c r="J470" s="88">
        <v>24992</v>
      </c>
      <c r="K470" s="140">
        <f t="shared" si="305"/>
        <v>3074016</v>
      </c>
      <c r="L470" s="315"/>
      <c r="M470" s="508">
        <f t="shared" si="306"/>
        <v>0</v>
      </c>
      <c r="N470" s="307">
        <f t="shared" si="307"/>
        <v>0</v>
      </c>
      <c r="O470" s="313">
        <f t="shared" si="308"/>
        <v>0</v>
      </c>
      <c r="P470" s="313">
        <f t="shared" si="309"/>
        <v>0</v>
      </c>
      <c r="Q470" s="313">
        <f t="shared" si="312"/>
        <v>0</v>
      </c>
      <c r="R470" s="244"/>
      <c r="S470" s="87">
        <v>123</v>
      </c>
      <c r="T470" s="304">
        <f t="shared" si="311"/>
        <v>24992</v>
      </c>
      <c r="U470" s="501">
        <f t="shared" si="313"/>
        <v>3074016</v>
      </c>
    </row>
    <row r="471" spans="2:21" ht="30" customHeight="1">
      <c r="B471" s="80"/>
      <c r="C471" s="90">
        <v>8.1800000000000104</v>
      </c>
      <c r="D471" s="97"/>
      <c r="E471" s="97"/>
      <c r="F471" s="97"/>
      <c r="G471" s="98" t="s">
        <v>322</v>
      </c>
      <c r="H471" s="102" t="s">
        <v>29</v>
      </c>
      <c r="I471" s="87">
        <v>60</v>
      </c>
      <c r="J471" s="88">
        <v>46431</v>
      </c>
      <c r="K471" s="140">
        <f t="shared" si="305"/>
        <v>2785860</v>
      </c>
      <c r="L471" s="315"/>
      <c r="M471" s="508">
        <f t="shared" si="306"/>
        <v>0</v>
      </c>
      <c r="N471" s="307">
        <f t="shared" si="307"/>
        <v>0</v>
      </c>
      <c r="O471" s="313">
        <f t="shared" si="308"/>
        <v>0</v>
      </c>
      <c r="P471" s="313">
        <f t="shared" si="309"/>
        <v>0</v>
      </c>
      <c r="Q471" s="313">
        <f t="shared" si="312"/>
        <v>0</v>
      </c>
      <c r="R471" s="244"/>
      <c r="S471" s="87">
        <v>60</v>
      </c>
      <c r="T471" s="304">
        <f t="shared" si="311"/>
        <v>46431</v>
      </c>
      <c r="U471" s="501">
        <f t="shared" si="313"/>
        <v>2785860</v>
      </c>
    </row>
    <row r="472" spans="2:21" ht="30" customHeight="1">
      <c r="B472" s="80"/>
      <c r="C472" s="90">
        <v>8.1900000000000102</v>
      </c>
      <c r="D472" s="97"/>
      <c r="E472" s="97"/>
      <c r="F472" s="97"/>
      <c r="G472" s="98" t="s">
        <v>323</v>
      </c>
      <c r="H472" s="102" t="s">
        <v>29</v>
      </c>
      <c r="I472" s="87">
        <v>70</v>
      </c>
      <c r="J472" s="88">
        <v>47540</v>
      </c>
      <c r="K472" s="140">
        <f t="shared" si="305"/>
        <v>3327800</v>
      </c>
      <c r="L472" s="315"/>
      <c r="M472" s="508">
        <f t="shared" si="306"/>
        <v>0</v>
      </c>
      <c r="N472" s="307">
        <f t="shared" si="307"/>
        <v>0</v>
      </c>
      <c r="O472" s="313">
        <f t="shared" si="308"/>
        <v>0</v>
      </c>
      <c r="P472" s="313">
        <f t="shared" si="309"/>
        <v>0</v>
      </c>
      <c r="Q472" s="313">
        <f t="shared" si="312"/>
        <v>0</v>
      </c>
      <c r="R472" s="244"/>
      <c r="S472" s="87">
        <v>70</v>
      </c>
      <c r="T472" s="304">
        <f t="shared" si="311"/>
        <v>47540</v>
      </c>
      <c r="U472" s="501">
        <f t="shared" si="313"/>
        <v>3327800</v>
      </c>
    </row>
    <row r="473" spans="2:21" ht="30" customHeight="1">
      <c r="B473" s="80"/>
      <c r="C473" s="90">
        <v>8.2000000000000099</v>
      </c>
      <c r="D473" s="97"/>
      <c r="E473" s="97"/>
      <c r="F473" s="97"/>
      <c r="G473" s="98" t="s">
        <v>324</v>
      </c>
      <c r="H473" s="102" t="s">
        <v>29</v>
      </c>
      <c r="I473" s="87">
        <v>35</v>
      </c>
      <c r="J473" s="88">
        <v>20313</v>
      </c>
      <c r="K473" s="140">
        <f t="shared" si="305"/>
        <v>710955</v>
      </c>
      <c r="L473" s="315"/>
      <c r="M473" s="508">
        <f t="shared" si="306"/>
        <v>0</v>
      </c>
      <c r="N473" s="307">
        <f t="shared" si="307"/>
        <v>0</v>
      </c>
      <c r="O473" s="313">
        <f t="shared" si="308"/>
        <v>0</v>
      </c>
      <c r="P473" s="313">
        <f t="shared" si="309"/>
        <v>0</v>
      </c>
      <c r="Q473" s="313">
        <f t="shared" si="312"/>
        <v>0</v>
      </c>
      <c r="R473" s="244"/>
      <c r="S473" s="87">
        <v>35</v>
      </c>
      <c r="T473" s="304">
        <f t="shared" si="311"/>
        <v>20313</v>
      </c>
      <c r="U473" s="501">
        <f t="shared" si="313"/>
        <v>710955</v>
      </c>
    </row>
    <row r="474" spans="2:21" ht="30" customHeight="1">
      <c r="B474" s="80"/>
      <c r="C474" s="90">
        <v>8.2100000000000097</v>
      </c>
      <c r="D474" s="97"/>
      <c r="E474" s="97"/>
      <c r="F474" s="97"/>
      <c r="G474" s="98" t="s">
        <v>119</v>
      </c>
      <c r="H474" s="102" t="s">
        <v>29</v>
      </c>
      <c r="I474" s="87">
        <v>18</v>
      </c>
      <c r="J474" s="88">
        <v>899855</v>
      </c>
      <c r="K474" s="140">
        <f t="shared" si="305"/>
        <v>16197390</v>
      </c>
      <c r="L474" s="315"/>
      <c r="M474" s="508">
        <f t="shared" si="306"/>
        <v>18</v>
      </c>
      <c r="N474" s="307">
        <f t="shared" si="307"/>
        <v>0</v>
      </c>
      <c r="O474" s="313">
        <f t="shared" si="308"/>
        <v>16197390</v>
      </c>
      <c r="P474" s="313">
        <f t="shared" si="309"/>
        <v>0</v>
      </c>
      <c r="Q474" s="313">
        <f t="shared" si="312"/>
        <v>16197390</v>
      </c>
      <c r="R474" s="244"/>
      <c r="S474" s="87">
        <v>36</v>
      </c>
      <c r="T474" s="304">
        <f t="shared" si="311"/>
        <v>899855</v>
      </c>
      <c r="U474" s="501">
        <f t="shared" si="313"/>
        <v>32394780</v>
      </c>
    </row>
    <row r="475" spans="2:21" s="81" customFormat="1" ht="30" customHeight="1">
      <c r="B475" s="438"/>
      <c r="C475" s="436">
        <v>8.2200000000000095</v>
      </c>
      <c r="D475" s="422"/>
      <c r="E475" s="422"/>
      <c r="F475" s="422"/>
      <c r="G475" s="198" t="s">
        <v>325</v>
      </c>
      <c r="H475" s="439" t="s">
        <v>65</v>
      </c>
      <c r="I475" s="199">
        <v>357.38990000000001</v>
      </c>
      <c r="J475" s="428">
        <v>9594</v>
      </c>
      <c r="K475" s="437">
        <f t="shared" si="305"/>
        <v>3428798.7006000001</v>
      </c>
      <c r="L475" s="440"/>
      <c r="M475" s="531">
        <f t="shared" si="306"/>
        <v>0</v>
      </c>
      <c r="N475" s="441">
        <f t="shared" si="307"/>
        <v>185.0899</v>
      </c>
      <c r="O475" s="442">
        <f t="shared" si="308"/>
        <v>0</v>
      </c>
      <c r="P475" s="442">
        <f t="shared" si="309"/>
        <v>1775752.5005999999</v>
      </c>
      <c r="Q475" s="442">
        <f t="shared" si="312"/>
        <v>-1775752.5005999999</v>
      </c>
      <c r="R475" s="443"/>
      <c r="S475" s="199">
        <v>172.3</v>
      </c>
      <c r="T475" s="444">
        <f t="shared" si="311"/>
        <v>9594</v>
      </c>
      <c r="U475" s="532">
        <f t="shared" si="313"/>
        <v>1653046.2000000002</v>
      </c>
    </row>
    <row r="476" spans="2:21" s="81" customFormat="1" ht="30" customHeight="1">
      <c r="B476" s="438"/>
      <c r="C476" s="436">
        <v>8.23000000000002</v>
      </c>
      <c r="D476" s="422"/>
      <c r="E476" s="422"/>
      <c r="F476" s="422"/>
      <c r="G476" s="198" t="s">
        <v>326</v>
      </c>
      <c r="H476" s="439" t="s">
        <v>65</v>
      </c>
      <c r="I476" s="199">
        <v>127.16669999999999</v>
      </c>
      <c r="J476" s="428">
        <v>9630</v>
      </c>
      <c r="K476" s="437">
        <f t="shared" si="305"/>
        <v>1224615.321</v>
      </c>
      <c r="L476" s="440"/>
      <c r="M476" s="531">
        <f t="shared" si="306"/>
        <v>36.433300000000003</v>
      </c>
      <c r="N476" s="441">
        <f t="shared" si="307"/>
        <v>0</v>
      </c>
      <c r="O476" s="442">
        <f t="shared" si="308"/>
        <v>350852.679</v>
      </c>
      <c r="P476" s="442">
        <f t="shared" si="309"/>
        <v>0</v>
      </c>
      <c r="Q476" s="442">
        <f t="shared" si="312"/>
        <v>350852.679</v>
      </c>
      <c r="R476" s="443"/>
      <c r="S476" s="199">
        <v>163.6</v>
      </c>
      <c r="T476" s="444">
        <f t="shared" si="311"/>
        <v>9630</v>
      </c>
      <c r="U476" s="532">
        <f t="shared" si="313"/>
        <v>1575468</v>
      </c>
    </row>
    <row r="477" spans="2:21" s="81" customFormat="1" ht="30" customHeight="1">
      <c r="B477" s="438"/>
      <c r="C477" s="436">
        <v>8.2400000000000198</v>
      </c>
      <c r="D477" s="422"/>
      <c r="E477" s="422"/>
      <c r="F477" s="422"/>
      <c r="G477" s="198" t="s">
        <v>327</v>
      </c>
      <c r="H477" s="439" t="s">
        <v>65</v>
      </c>
      <c r="I477" s="199">
        <v>49.433300000000003</v>
      </c>
      <c r="J477" s="428">
        <v>16544</v>
      </c>
      <c r="K477" s="437">
        <f t="shared" si="305"/>
        <v>817824.51520000002</v>
      </c>
      <c r="L477" s="440"/>
      <c r="M477" s="531">
        <f t="shared" si="306"/>
        <v>89.966700000000003</v>
      </c>
      <c r="N477" s="441">
        <f t="shared" si="307"/>
        <v>0</v>
      </c>
      <c r="O477" s="442">
        <f t="shared" si="308"/>
        <v>1488409.0848000001</v>
      </c>
      <c r="P477" s="442">
        <f t="shared" si="309"/>
        <v>0</v>
      </c>
      <c r="Q477" s="442">
        <f t="shared" si="312"/>
        <v>1488409.0848000001</v>
      </c>
      <c r="R477" s="443"/>
      <c r="S477" s="199">
        <v>139.4</v>
      </c>
      <c r="T477" s="444">
        <f t="shared" si="311"/>
        <v>16544</v>
      </c>
      <c r="U477" s="532">
        <f t="shared" si="313"/>
        <v>2306233.6</v>
      </c>
    </row>
    <row r="478" spans="2:21" s="81" customFormat="1" ht="30" customHeight="1">
      <c r="B478" s="438"/>
      <c r="C478" s="436">
        <v>8.2500000000000195</v>
      </c>
      <c r="D478" s="422"/>
      <c r="E478" s="422"/>
      <c r="F478" s="422"/>
      <c r="G478" s="198" t="s">
        <v>328</v>
      </c>
      <c r="H478" s="439" t="s">
        <v>65</v>
      </c>
      <c r="I478" s="199">
        <v>154.06210000000002</v>
      </c>
      <c r="J478" s="428">
        <v>18762</v>
      </c>
      <c r="K478" s="437">
        <f t="shared" si="305"/>
        <v>2890513.1202000002</v>
      </c>
      <c r="L478" s="440"/>
      <c r="M478" s="531">
        <f t="shared" si="306"/>
        <v>29.637899999999973</v>
      </c>
      <c r="N478" s="441">
        <f t="shared" si="307"/>
        <v>0</v>
      </c>
      <c r="O478" s="442">
        <f t="shared" si="308"/>
        <v>556066.27979999955</v>
      </c>
      <c r="P478" s="442">
        <f t="shared" si="309"/>
        <v>0</v>
      </c>
      <c r="Q478" s="442">
        <f t="shared" si="312"/>
        <v>556066.27979999955</v>
      </c>
      <c r="R478" s="443"/>
      <c r="S478" s="199">
        <v>183.7</v>
      </c>
      <c r="T478" s="444">
        <f t="shared" si="311"/>
        <v>18762</v>
      </c>
      <c r="U478" s="532">
        <f t="shared" si="313"/>
        <v>3446579.4</v>
      </c>
    </row>
    <row r="479" spans="2:21" s="81" customFormat="1" ht="30" customHeight="1">
      <c r="B479" s="438"/>
      <c r="C479" s="436">
        <v>8.2600000000000193</v>
      </c>
      <c r="D479" s="422"/>
      <c r="E479" s="422"/>
      <c r="F479" s="422"/>
      <c r="G479" s="198" t="s">
        <v>329</v>
      </c>
      <c r="H479" s="439" t="s">
        <v>65</v>
      </c>
      <c r="I479" s="199">
        <v>124.0445</v>
      </c>
      <c r="J479" s="428">
        <v>29054</v>
      </c>
      <c r="K479" s="437">
        <f t="shared" si="305"/>
        <v>3603988.9029999999</v>
      </c>
      <c r="L479" s="440"/>
      <c r="M479" s="531">
        <f t="shared" si="306"/>
        <v>129.15549999999999</v>
      </c>
      <c r="N479" s="441">
        <f t="shared" si="307"/>
        <v>0</v>
      </c>
      <c r="O479" s="442">
        <f t="shared" si="308"/>
        <v>3752483.8969999999</v>
      </c>
      <c r="P479" s="442">
        <f t="shared" si="309"/>
        <v>0</v>
      </c>
      <c r="Q479" s="442">
        <f t="shared" si="312"/>
        <v>3752483.8969999999</v>
      </c>
      <c r="R479" s="443"/>
      <c r="S479" s="199">
        <f>153.2+100</f>
        <v>253.2</v>
      </c>
      <c r="T479" s="444">
        <f t="shared" si="311"/>
        <v>29054</v>
      </c>
      <c r="U479" s="532">
        <f t="shared" si="313"/>
        <v>7356472.7999999998</v>
      </c>
    </row>
    <row r="480" spans="2:21" s="81" customFormat="1" ht="30" customHeight="1">
      <c r="B480" s="438"/>
      <c r="C480" s="436">
        <v>8.2700000000000191</v>
      </c>
      <c r="D480" s="422"/>
      <c r="E480" s="422"/>
      <c r="F480" s="422"/>
      <c r="G480" s="198" t="s">
        <v>330</v>
      </c>
      <c r="H480" s="439" t="s">
        <v>65</v>
      </c>
      <c r="I480" s="199">
        <v>178.06030000000001</v>
      </c>
      <c r="J480" s="428">
        <v>34335</v>
      </c>
      <c r="K480" s="437">
        <f t="shared" si="305"/>
        <v>6113700.4005000005</v>
      </c>
      <c r="L480" s="440"/>
      <c r="M480" s="531">
        <f t="shared" si="306"/>
        <v>44.939699999999988</v>
      </c>
      <c r="N480" s="441">
        <f t="shared" si="307"/>
        <v>0</v>
      </c>
      <c r="O480" s="442">
        <f t="shared" si="308"/>
        <v>1543004.5994999995</v>
      </c>
      <c r="P480" s="442">
        <f t="shared" si="309"/>
        <v>0</v>
      </c>
      <c r="Q480" s="442">
        <f t="shared" si="312"/>
        <v>1543004.5994999995</v>
      </c>
      <c r="R480" s="443"/>
      <c r="S480" s="199">
        <v>223</v>
      </c>
      <c r="T480" s="444">
        <f t="shared" si="311"/>
        <v>34335</v>
      </c>
      <c r="U480" s="532">
        <f t="shared" si="313"/>
        <v>7656705</v>
      </c>
    </row>
    <row r="481" spans="2:21" s="81" customFormat="1" ht="30" customHeight="1">
      <c r="B481" s="438"/>
      <c r="C481" s="436">
        <v>8.2800000000000207</v>
      </c>
      <c r="D481" s="422"/>
      <c r="E481" s="422"/>
      <c r="F481" s="422"/>
      <c r="G481" s="198" t="s">
        <v>331</v>
      </c>
      <c r="H481" s="439" t="s">
        <v>65</v>
      </c>
      <c r="I481" s="199">
        <v>5.9326999999999996</v>
      </c>
      <c r="J481" s="428">
        <v>48353</v>
      </c>
      <c r="K481" s="437">
        <f t="shared" si="305"/>
        <v>286863.8431</v>
      </c>
      <c r="L481" s="440"/>
      <c r="M481" s="531">
        <f t="shared" si="306"/>
        <v>58.067300000000003</v>
      </c>
      <c r="N481" s="441">
        <f t="shared" si="307"/>
        <v>0</v>
      </c>
      <c r="O481" s="442">
        <f t="shared" si="308"/>
        <v>2807728.1569000003</v>
      </c>
      <c r="P481" s="442">
        <f t="shared" si="309"/>
        <v>0</v>
      </c>
      <c r="Q481" s="442">
        <f t="shared" si="312"/>
        <v>2807728.1569000003</v>
      </c>
      <c r="R481" s="443"/>
      <c r="S481" s="199">
        <v>64</v>
      </c>
      <c r="T481" s="444">
        <f t="shared" si="311"/>
        <v>48353</v>
      </c>
      <c r="U481" s="532">
        <f t="shared" si="313"/>
        <v>3094592</v>
      </c>
    </row>
    <row r="482" spans="2:21" s="81" customFormat="1" ht="30" customHeight="1">
      <c r="B482" s="438"/>
      <c r="C482" s="436">
        <v>8.2900000000000293</v>
      </c>
      <c r="D482" s="422"/>
      <c r="E482" s="422"/>
      <c r="F482" s="422"/>
      <c r="G482" s="198" t="s">
        <v>332</v>
      </c>
      <c r="H482" s="445" t="s">
        <v>29</v>
      </c>
      <c r="I482" s="199">
        <v>376</v>
      </c>
      <c r="J482" s="428">
        <v>2413</v>
      </c>
      <c r="K482" s="437">
        <f t="shared" si="305"/>
        <v>907288</v>
      </c>
      <c r="L482" s="440"/>
      <c r="M482" s="531">
        <f t="shared" si="306"/>
        <v>0</v>
      </c>
      <c r="N482" s="441">
        <f t="shared" si="307"/>
        <v>0</v>
      </c>
      <c r="O482" s="442">
        <f t="shared" si="308"/>
        <v>0</v>
      </c>
      <c r="P482" s="442">
        <f t="shared" si="309"/>
        <v>0</v>
      </c>
      <c r="Q482" s="442">
        <f t="shared" si="312"/>
        <v>0</v>
      </c>
      <c r="R482" s="443"/>
      <c r="S482" s="199">
        <v>376</v>
      </c>
      <c r="T482" s="444">
        <f t="shared" si="311"/>
        <v>2413</v>
      </c>
      <c r="U482" s="532">
        <f t="shared" si="313"/>
        <v>907288</v>
      </c>
    </row>
    <row r="483" spans="2:21" s="81" customFormat="1" ht="30" customHeight="1">
      <c r="B483" s="438"/>
      <c r="C483" s="436">
        <v>8.3000000000000291</v>
      </c>
      <c r="D483" s="422"/>
      <c r="E483" s="422"/>
      <c r="F483" s="422"/>
      <c r="G483" s="198" t="s">
        <v>333</v>
      </c>
      <c r="H483" s="445" t="s">
        <v>29</v>
      </c>
      <c r="I483" s="199">
        <v>12</v>
      </c>
      <c r="J483" s="428">
        <v>4594</v>
      </c>
      <c r="K483" s="437">
        <f t="shared" si="305"/>
        <v>55128</v>
      </c>
      <c r="L483" s="440"/>
      <c r="M483" s="531">
        <f t="shared" si="306"/>
        <v>0</v>
      </c>
      <c r="N483" s="441">
        <f t="shared" si="307"/>
        <v>0</v>
      </c>
      <c r="O483" s="442">
        <f t="shared" si="308"/>
        <v>0</v>
      </c>
      <c r="P483" s="442">
        <f t="shared" si="309"/>
        <v>0</v>
      </c>
      <c r="Q483" s="442">
        <f t="shared" si="312"/>
        <v>0</v>
      </c>
      <c r="R483" s="443"/>
      <c r="S483" s="199">
        <v>12</v>
      </c>
      <c r="T483" s="444">
        <f t="shared" si="311"/>
        <v>4594</v>
      </c>
      <c r="U483" s="532">
        <f t="shared" si="313"/>
        <v>55128</v>
      </c>
    </row>
    <row r="484" spans="2:21" s="81" customFormat="1" ht="30" customHeight="1">
      <c r="B484" s="438"/>
      <c r="C484" s="436">
        <v>8.3100000000000307</v>
      </c>
      <c r="D484" s="422"/>
      <c r="E484" s="422"/>
      <c r="F484" s="422"/>
      <c r="G484" s="198" t="s">
        <v>334</v>
      </c>
      <c r="H484" s="445" t="s">
        <v>29</v>
      </c>
      <c r="I484" s="199">
        <v>80</v>
      </c>
      <c r="J484" s="428">
        <v>2795</v>
      </c>
      <c r="K484" s="437">
        <f t="shared" si="305"/>
        <v>223600</v>
      </c>
      <c r="L484" s="440"/>
      <c r="M484" s="531">
        <f t="shared" si="306"/>
        <v>16</v>
      </c>
      <c r="N484" s="441">
        <f t="shared" si="307"/>
        <v>0</v>
      </c>
      <c r="O484" s="442">
        <f t="shared" si="308"/>
        <v>44720</v>
      </c>
      <c r="P484" s="442">
        <f t="shared" si="309"/>
        <v>0</v>
      </c>
      <c r="Q484" s="442">
        <f t="shared" si="312"/>
        <v>44720</v>
      </c>
      <c r="R484" s="443"/>
      <c r="S484" s="199">
        <v>96</v>
      </c>
      <c r="T484" s="444">
        <f t="shared" si="311"/>
        <v>2795</v>
      </c>
      <c r="U484" s="532">
        <f t="shared" si="313"/>
        <v>268320</v>
      </c>
    </row>
    <row r="485" spans="2:21" s="81" customFormat="1" ht="30" customHeight="1">
      <c r="B485" s="438"/>
      <c r="C485" s="436">
        <v>8.3200000000000305</v>
      </c>
      <c r="D485" s="422"/>
      <c r="E485" s="422"/>
      <c r="F485" s="422"/>
      <c r="G485" s="198" t="s">
        <v>335</v>
      </c>
      <c r="H485" s="445" t="s">
        <v>29</v>
      </c>
      <c r="I485" s="199">
        <v>64</v>
      </c>
      <c r="J485" s="428">
        <v>14429</v>
      </c>
      <c r="K485" s="437">
        <f t="shared" si="305"/>
        <v>923456</v>
      </c>
      <c r="L485" s="440"/>
      <c r="M485" s="531">
        <f t="shared" si="306"/>
        <v>14</v>
      </c>
      <c r="N485" s="441">
        <f t="shared" si="307"/>
        <v>0</v>
      </c>
      <c r="O485" s="442">
        <f t="shared" si="308"/>
        <v>202006</v>
      </c>
      <c r="P485" s="442">
        <f t="shared" si="309"/>
        <v>0</v>
      </c>
      <c r="Q485" s="442">
        <f t="shared" si="312"/>
        <v>202006</v>
      </c>
      <c r="R485" s="443"/>
      <c r="S485" s="199">
        <v>78</v>
      </c>
      <c r="T485" s="444">
        <f t="shared" si="311"/>
        <v>14429</v>
      </c>
      <c r="U485" s="532">
        <f t="shared" si="313"/>
        <v>1125462</v>
      </c>
    </row>
    <row r="486" spans="2:21" s="81" customFormat="1" ht="30" customHeight="1">
      <c r="B486" s="438"/>
      <c r="C486" s="436">
        <v>8.3300000000000303</v>
      </c>
      <c r="D486" s="422"/>
      <c r="E486" s="422"/>
      <c r="F486" s="422"/>
      <c r="G486" s="198" t="s">
        <v>336</v>
      </c>
      <c r="H486" s="445" t="s">
        <v>29</v>
      </c>
      <c r="I486" s="199">
        <v>87</v>
      </c>
      <c r="J486" s="428">
        <v>8695</v>
      </c>
      <c r="K486" s="437">
        <f t="shared" ref="K486:K517" si="314">I486*J486</f>
        <v>756465</v>
      </c>
      <c r="L486" s="440"/>
      <c r="M486" s="531">
        <f t="shared" ref="M486:M517" si="315">+IF(I486&lt;S486,S486-I486,0)</f>
        <v>0</v>
      </c>
      <c r="N486" s="441">
        <f t="shared" ref="N486:N517" si="316">+IF(I486&gt;S486,-S486+I486,0)</f>
        <v>0</v>
      </c>
      <c r="O486" s="442">
        <f t="shared" ref="O486:O517" si="317">+M486*J486</f>
        <v>0</v>
      </c>
      <c r="P486" s="442">
        <f t="shared" ref="P486:P517" si="318">+N486*J486</f>
        <v>0</v>
      </c>
      <c r="Q486" s="442">
        <f t="shared" si="312"/>
        <v>0</v>
      </c>
      <c r="R486" s="443"/>
      <c r="S486" s="199">
        <v>87</v>
      </c>
      <c r="T486" s="444">
        <f t="shared" ref="T486:T517" si="319">+J486</f>
        <v>8695</v>
      </c>
      <c r="U486" s="532">
        <f t="shared" si="313"/>
        <v>756465</v>
      </c>
    </row>
    <row r="487" spans="2:21" s="81" customFormat="1" ht="30" customHeight="1">
      <c r="B487" s="438"/>
      <c r="C487" s="436">
        <v>8.3400000000000301</v>
      </c>
      <c r="D487" s="422"/>
      <c r="E487" s="422"/>
      <c r="F487" s="422"/>
      <c r="G487" s="198" t="s">
        <v>337</v>
      </c>
      <c r="H487" s="445" t="s">
        <v>29</v>
      </c>
      <c r="I487" s="199">
        <v>8</v>
      </c>
      <c r="J487" s="428">
        <v>7373</v>
      </c>
      <c r="K487" s="437">
        <f t="shared" si="314"/>
        <v>58984</v>
      </c>
      <c r="L487" s="440"/>
      <c r="M487" s="531">
        <f t="shared" si="315"/>
        <v>64</v>
      </c>
      <c r="N487" s="441">
        <f t="shared" si="316"/>
        <v>0</v>
      </c>
      <c r="O487" s="442">
        <f t="shared" si="317"/>
        <v>471872</v>
      </c>
      <c r="P487" s="442">
        <f t="shared" si="318"/>
        <v>0</v>
      </c>
      <c r="Q487" s="442">
        <f t="shared" si="312"/>
        <v>471872</v>
      </c>
      <c r="R487" s="443"/>
      <c r="S487" s="199">
        <v>72</v>
      </c>
      <c r="T487" s="444">
        <f t="shared" si="319"/>
        <v>7373</v>
      </c>
      <c r="U487" s="532">
        <f t="shared" si="313"/>
        <v>530856</v>
      </c>
    </row>
    <row r="488" spans="2:21" s="81" customFormat="1" ht="30" customHeight="1">
      <c r="B488" s="438"/>
      <c r="C488" s="436">
        <v>8.3500000000000405</v>
      </c>
      <c r="D488" s="422"/>
      <c r="E488" s="422"/>
      <c r="F488" s="422"/>
      <c r="G488" s="198" t="s">
        <v>338</v>
      </c>
      <c r="H488" s="445" t="s">
        <v>29</v>
      </c>
      <c r="I488" s="199">
        <v>6</v>
      </c>
      <c r="J488" s="428">
        <v>31575</v>
      </c>
      <c r="K488" s="437">
        <f t="shared" si="314"/>
        <v>189450</v>
      </c>
      <c r="L488" s="440"/>
      <c r="M488" s="531">
        <f t="shared" si="315"/>
        <v>10</v>
      </c>
      <c r="N488" s="441">
        <f t="shared" si="316"/>
        <v>0</v>
      </c>
      <c r="O488" s="442">
        <f t="shared" si="317"/>
        <v>315750</v>
      </c>
      <c r="P488" s="442">
        <f t="shared" si="318"/>
        <v>0</v>
      </c>
      <c r="Q488" s="442">
        <f t="shared" si="312"/>
        <v>315750</v>
      </c>
      <c r="R488" s="443"/>
      <c r="S488" s="199">
        <v>16</v>
      </c>
      <c r="T488" s="444">
        <f t="shared" si="319"/>
        <v>31575</v>
      </c>
      <c r="U488" s="532">
        <f t="shared" si="313"/>
        <v>505200</v>
      </c>
    </row>
    <row r="489" spans="2:21" s="81" customFormat="1" ht="30" customHeight="1">
      <c r="B489" s="438"/>
      <c r="C489" s="436">
        <v>8.3600000000000403</v>
      </c>
      <c r="D489" s="422"/>
      <c r="E489" s="422"/>
      <c r="F489" s="422"/>
      <c r="G489" s="198" t="s">
        <v>133</v>
      </c>
      <c r="H489" s="445" t="s">
        <v>29</v>
      </c>
      <c r="I489" s="199">
        <v>3</v>
      </c>
      <c r="J489" s="428">
        <v>21047</v>
      </c>
      <c r="K489" s="437">
        <f t="shared" si="314"/>
        <v>63141</v>
      </c>
      <c r="L489" s="440"/>
      <c r="M489" s="531">
        <f t="shared" si="315"/>
        <v>9</v>
      </c>
      <c r="N489" s="441">
        <f t="shared" si="316"/>
        <v>0</v>
      </c>
      <c r="O489" s="442">
        <f t="shared" si="317"/>
        <v>189423</v>
      </c>
      <c r="P489" s="442">
        <f t="shared" si="318"/>
        <v>0</v>
      </c>
      <c r="Q489" s="442">
        <f t="shared" si="312"/>
        <v>189423</v>
      </c>
      <c r="R489" s="443"/>
      <c r="S489" s="199">
        <v>12</v>
      </c>
      <c r="T489" s="444">
        <f t="shared" si="319"/>
        <v>21047</v>
      </c>
      <c r="U489" s="532">
        <f t="shared" si="313"/>
        <v>252564</v>
      </c>
    </row>
    <row r="490" spans="2:21" s="81" customFormat="1" ht="30" customHeight="1">
      <c r="B490" s="438"/>
      <c r="C490" s="436">
        <v>8.3700000000000401</v>
      </c>
      <c r="D490" s="422"/>
      <c r="E490" s="422"/>
      <c r="F490" s="422"/>
      <c r="G490" s="198" t="s">
        <v>134</v>
      </c>
      <c r="H490" s="445" t="s">
        <v>29</v>
      </c>
      <c r="I490" s="199">
        <v>1</v>
      </c>
      <c r="J490" s="428">
        <v>40712</v>
      </c>
      <c r="K490" s="437">
        <f t="shared" si="314"/>
        <v>40712</v>
      </c>
      <c r="L490" s="440"/>
      <c r="M490" s="531">
        <f t="shared" si="315"/>
        <v>15</v>
      </c>
      <c r="N490" s="441">
        <f t="shared" si="316"/>
        <v>0</v>
      </c>
      <c r="O490" s="442">
        <f t="shared" si="317"/>
        <v>610680</v>
      </c>
      <c r="P490" s="442">
        <f t="shared" si="318"/>
        <v>0</v>
      </c>
      <c r="Q490" s="442">
        <f t="shared" si="312"/>
        <v>610680</v>
      </c>
      <c r="R490" s="443"/>
      <c r="S490" s="199">
        <v>16</v>
      </c>
      <c r="T490" s="444">
        <f t="shared" si="319"/>
        <v>40712</v>
      </c>
      <c r="U490" s="532">
        <f t="shared" si="313"/>
        <v>651392</v>
      </c>
    </row>
    <row r="491" spans="2:21" s="81" customFormat="1" ht="30" customHeight="1">
      <c r="B491" s="438"/>
      <c r="C491" s="436">
        <v>8.3800000000000399</v>
      </c>
      <c r="D491" s="422"/>
      <c r="E491" s="422"/>
      <c r="F491" s="422"/>
      <c r="G491" s="198" t="s">
        <v>135</v>
      </c>
      <c r="H491" s="445" t="s">
        <v>29</v>
      </c>
      <c r="I491" s="199">
        <v>1</v>
      </c>
      <c r="J491" s="428">
        <v>78377</v>
      </c>
      <c r="K491" s="437">
        <f t="shared" si="314"/>
        <v>78377</v>
      </c>
      <c r="L491" s="440"/>
      <c r="M491" s="531">
        <f t="shared" si="315"/>
        <v>2</v>
      </c>
      <c r="N491" s="441">
        <f t="shared" si="316"/>
        <v>0</v>
      </c>
      <c r="O491" s="442">
        <f t="shared" si="317"/>
        <v>156754</v>
      </c>
      <c r="P491" s="442">
        <f t="shared" si="318"/>
        <v>0</v>
      </c>
      <c r="Q491" s="442">
        <f t="shared" si="312"/>
        <v>156754</v>
      </c>
      <c r="R491" s="443"/>
      <c r="S491" s="199">
        <v>3</v>
      </c>
      <c r="T491" s="444">
        <f t="shared" si="319"/>
        <v>78377</v>
      </c>
      <c r="U491" s="532">
        <f t="shared" si="313"/>
        <v>235131</v>
      </c>
    </row>
    <row r="492" spans="2:21" s="81" customFormat="1" ht="30" customHeight="1">
      <c r="B492" s="438"/>
      <c r="C492" s="436">
        <v>8.3900000000000396</v>
      </c>
      <c r="D492" s="422"/>
      <c r="E492" s="422"/>
      <c r="F492" s="422"/>
      <c r="G492" s="198" t="s">
        <v>339</v>
      </c>
      <c r="H492" s="445" t="s">
        <v>29</v>
      </c>
      <c r="I492" s="199">
        <v>18</v>
      </c>
      <c r="J492" s="428">
        <v>16874</v>
      </c>
      <c r="K492" s="437">
        <f t="shared" si="314"/>
        <v>303732</v>
      </c>
      <c r="L492" s="440"/>
      <c r="M492" s="531">
        <f t="shared" si="315"/>
        <v>14</v>
      </c>
      <c r="N492" s="441">
        <f t="shared" si="316"/>
        <v>0</v>
      </c>
      <c r="O492" s="442">
        <f t="shared" si="317"/>
        <v>236236</v>
      </c>
      <c r="P492" s="442">
        <f t="shared" si="318"/>
        <v>0</v>
      </c>
      <c r="Q492" s="442">
        <f t="shared" si="312"/>
        <v>236236</v>
      </c>
      <c r="R492" s="443"/>
      <c r="S492" s="199">
        <v>32</v>
      </c>
      <c r="T492" s="444">
        <f t="shared" si="319"/>
        <v>16874</v>
      </c>
      <c r="U492" s="532">
        <f t="shared" si="313"/>
        <v>539968</v>
      </c>
    </row>
    <row r="493" spans="2:21" ht="30" customHeight="1">
      <c r="B493" s="80"/>
      <c r="C493" s="90">
        <v>8.4000000000000394</v>
      </c>
      <c r="D493" s="97"/>
      <c r="E493" s="97"/>
      <c r="F493" s="97"/>
      <c r="G493" s="98" t="s">
        <v>340</v>
      </c>
      <c r="H493" s="102" t="s">
        <v>29</v>
      </c>
      <c r="I493" s="87">
        <v>30</v>
      </c>
      <c r="J493" s="88">
        <v>8310</v>
      </c>
      <c r="K493" s="140">
        <f t="shared" si="314"/>
        <v>249300</v>
      </c>
      <c r="L493" s="315"/>
      <c r="M493" s="508">
        <f t="shared" si="315"/>
        <v>38</v>
      </c>
      <c r="N493" s="307">
        <f t="shared" si="316"/>
        <v>0</v>
      </c>
      <c r="O493" s="313">
        <f t="shared" si="317"/>
        <v>315780</v>
      </c>
      <c r="P493" s="313">
        <f t="shared" si="318"/>
        <v>0</v>
      </c>
      <c r="Q493" s="313">
        <f t="shared" si="312"/>
        <v>315780</v>
      </c>
      <c r="R493" s="244"/>
      <c r="S493" s="87">
        <v>68</v>
      </c>
      <c r="T493" s="304">
        <f t="shared" si="319"/>
        <v>8310</v>
      </c>
      <c r="U493" s="501">
        <f t="shared" si="313"/>
        <v>565080</v>
      </c>
    </row>
    <row r="494" spans="2:21" ht="30" customHeight="1">
      <c r="B494" s="80"/>
      <c r="C494" s="90">
        <v>8.4100000000000392</v>
      </c>
      <c r="D494" s="97"/>
      <c r="E494" s="97"/>
      <c r="F494" s="97"/>
      <c r="G494" s="98" t="s">
        <v>136</v>
      </c>
      <c r="H494" s="102" t="s">
        <v>29</v>
      </c>
      <c r="I494" s="87">
        <v>82</v>
      </c>
      <c r="J494" s="88">
        <v>9384</v>
      </c>
      <c r="K494" s="140">
        <f t="shared" si="314"/>
        <v>769488</v>
      </c>
      <c r="L494" s="315"/>
      <c r="M494" s="508">
        <f t="shared" si="315"/>
        <v>0</v>
      </c>
      <c r="N494" s="307">
        <f t="shared" si="316"/>
        <v>0</v>
      </c>
      <c r="O494" s="313">
        <f t="shared" si="317"/>
        <v>0</v>
      </c>
      <c r="P494" s="313">
        <f t="shared" si="318"/>
        <v>0</v>
      </c>
      <c r="Q494" s="313">
        <f t="shared" si="312"/>
        <v>0</v>
      </c>
      <c r="R494" s="244"/>
      <c r="S494" s="87">
        <v>82</v>
      </c>
      <c r="T494" s="304">
        <f t="shared" si="319"/>
        <v>9384</v>
      </c>
      <c r="U494" s="501">
        <f t="shared" si="313"/>
        <v>769488</v>
      </c>
    </row>
    <row r="495" spans="2:21" ht="30" customHeight="1">
      <c r="B495" s="80"/>
      <c r="C495" s="90">
        <v>8.4200000000000497</v>
      </c>
      <c r="D495" s="97"/>
      <c r="E495" s="97"/>
      <c r="F495" s="97"/>
      <c r="G495" s="98" t="s">
        <v>137</v>
      </c>
      <c r="H495" s="102" t="s">
        <v>29</v>
      </c>
      <c r="I495" s="87">
        <v>66</v>
      </c>
      <c r="J495" s="88">
        <v>8871</v>
      </c>
      <c r="K495" s="140">
        <f t="shared" si="314"/>
        <v>585486</v>
      </c>
      <c r="L495" s="315"/>
      <c r="M495" s="508">
        <f t="shared" si="315"/>
        <v>0</v>
      </c>
      <c r="N495" s="307">
        <f t="shared" si="316"/>
        <v>0</v>
      </c>
      <c r="O495" s="313">
        <f t="shared" si="317"/>
        <v>0</v>
      </c>
      <c r="P495" s="313">
        <f t="shared" si="318"/>
        <v>0</v>
      </c>
      <c r="Q495" s="313">
        <f t="shared" si="312"/>
        <v>0</v>
      </c>
      <c r="R495" s="244"/>
      <c r="S495" s="87">
        <v>66</v>
      </c>
      <c r="T495" s="304">
        <f t="shared" si="319"/>
        <v>8871</v>
      </c>
      <c r="U495" s="501">
        <f t="shared" si="313"/>
        <v>585486</v>
      </c>
    </row>
    <row r="496" spans="2:21" ht="30" customHeight="1">
      <c r="B496" s="80"/>
      <c r="C496" s="90">
        <v>8.4300000000000495</v>
      </c>
      <c r="D496" s="97"/>
      <c r="E496" s="97"/>
      <c r="F496" s="97"/>
      <c r="G496" s="98" t="s">
        <v>138</v>
      </c>
      <c r="H496" s="102" t="s">
        <v>29</v>
      </c>
      <c r="I496" s="87">
        <v>66</v>
      </c>
      <c r="J496" s="88">
        <v>8614</v>
      </c>
      <c r="K496" s="140">
        <f t="shared" si="314"/>
        <v>568524</v>
      </c>
      <c r="L496" s="315"/>
      <c r="M496" s="508">
        <f t="shared" si="315"/>
        <v>0</v>
      </c>
      <c r="N496" s="307">
        <f t="shared" si="316"/>
        <v>0</v>
      </c>
      <c r="O496" s="313">
        <f t="shared" si="317"/>
        <v>0</v>
      </c>
      <c r="P496" s="313">
        <f t="shared" si="318"/>
        <v>0</v>
      </c>
      <c r="Q496" s="313">
        <f t="shared" si="312"/>
        <v>0</v>
      </c>
      <c r="R496" s="244"/>
      <c r="S496" s="87">
        <v>66</v>
      </c>
      <c r="T496" s="304">
        <f t="shared" si="319"/>
        <v>8614</v>
      </c>
      <c r="U496" s="501">
        <f t="shared" si="313"/>
        <v>568524</v>
      </c>
    </row>
    <row r="497" spans="2:21" ht="30" customHeight="1">
      <c r="B497" s="80"/>
      <c r="C497" s="90">
        <v>8.4400000000000492</v>
      </c>
      <c r="D497" s="97"/>
      <c r="E497" s="97"/>
      <c r="F497" s="97"/>
      <c r="G497" s="98" t="s">
        <v>341</v>
      </c>
      <c r="H497" s="102" t="s">
        <v>29</v>
      </c>
      <c r="I497" s="87">
        <v>30</v>
      </c>
      <c r="J497" s="88">
        <v>5908</v>
      </c>
      <c r="K497" s="140">
        <f t="shared" si="314"/>
        <v>177240</v>
      </c>
      <c r="L497" s="315"/>
      <c r="M497" s="508">
        <f t="shared" si="315"/>
        <v>0</v>
      </c>
      <c r="N497" s="307">
        <f t="shared" si="316"/>
        <v>0</v>
      </c>
      <c r="O497" s="313">
        <f t="shared" si="317"/>
        <v>0</v>
      </c>
      <c r="P497" s="313">
        <f t="shared" si="318"/>
        <v>0</v>
      </c>
      <c r="Q497" s="313">
        <f t="shared" si="312"/>
        <v>0</v>
      </c>
      <c r="R497" s="244"/>
      <c r="S497" s="87">
        <v>30</v>
      </c>
      <c r="T497" s="304">
        <f t="shared" si="319"/>
        <v>5908</v>
      </c>
      <c r="U497" s="501">
        <f t="shared" si="313"/>
        <v>177240</v>
      </c>
    </row>
    <row r="498" spans="2:21" ht="30" customHeight="1">
      <c r="B498" s="80"/>
      <c r="C498" s="90">
        <v>8.4500000000000508</v>
      </c>
      <c r="D498" s="97"/>
      <c r="E498" s="97"/>
      <c r="F498" s="97"/>
      <c r="G498" s="98" t="s">
        <v>342</v>
      </c>
      <c r="H498" s="102" t="s">
        <v>29</v>
      </c>
      <c r="I498" s="87">
        <v>4</v>
      </c>
      <c r="J498" s="88">
        <v>11117</v>
      </c>
      <c r="K498" s="140">
        <f t="shared" si="314"/>
        <v>44468</v>
      </c>
      <c r="L498" s="315"/>
      <c r="M498" s="508">
        <f t="shared" si="315"/>
        <v>0</v>
      </c>
      <c r="N498" s="307">
        <f t="shared" si="316"/>
        <v>0</v>
      </c>
      <c r="O498" s="313">
        <f t="shared" si="317"/>
        <v>0</v>
      </c>
      <c r="P498" s="313">
        <f t="shared" si="318"/>
        <v>0</v>
      </c>
      <c r="Q498" s="313">
        <f t="shared" si="312"/>
        <v>0</v>
      </c>
      <c r="R498" s="244"/>
      <c r="S498" s="87">
        <v>4</v>
      </c>
      <c r="T498" s="304">
        <f t="shared" si="319"/>
        <v>11117</v>
      </c>
      <c r="U498" s="501">
        <f t="shared" si="313"/>
        <v>44468</v>
      </c>
    </row>
    <row r="499" spans="2:21" ht="30" customHeight="1">
      <c r="B499" s="80"/>
      <c r="C499" s="90">
        <v>8.4600000000000506</v>
      </c>
      <c r="D499" s="97"/>
      <c r="E499" s="97"/>
      <c r="F499" s="97"/>
      <c r="G499" s="98" t="s">
        <v>140</v>
      </c>
      <c r="H499" s="102" t="s">
        <v>29</v>
      </c>
      <c r="I499" s="87">
        <v>4</v>
      </c>
      <c r="J499" s="88">
        <v>24287</v>
      </c>
      <c r="K499" s="140">
        <f t="shared" si="314"/>
        <v>97148</v>
      </c>
      <c r="L499" s="315"/>
      <c r="M499" s="508">
        <f t="shared" si="315"/>
        <v>0</v>
      </c>
      <c r="N499" s="307">
        <f t="shared" si="316"/>
        <v>0</v>
      </c>
      <c r="O499" s="313">
        <f t="shared" si="317"/>
        <v>0</v>
      </c>
      <c r="P499" s="313">
        <f t="shared" si="318"/>
        <v>0</v>
      </c>
      <c r="Q499" s="313">
        <f t="shared" si="312"/>
        <v>0</v>
      </c>
      <c r="R499" s="244"/>
      <c r="S499" s="87">
        <v>4</v>
      </c>
      <c r="T499" s="304">
        <f t="shared" si="319"/>
        <v>24287</v>
      </c>
      <c r="U499" s="501">
        <f t="shared" si="313"/>
        <v>97148</v>
      </c>
    </row>
    <row r="500" spans="2:21" ht="30" customHeight="1">
      <c r="B500" s="80"/>
      <c r="C500" s="90">
        <v>8.4700000000000504</v>
      </c>
      <c r="D500" s="97"/>
      <c r="E500" s="97"/>
      <c r="F500" s="97"/>
      <c r="G500" s="98" t="s">
        <v>141</v>
      </c>
      <c r="H500" s="102" t="s">
        <v>29</v>
      </c>
      <c r="I500" s="87">
        <v>3</v>
      </c>
      <c r="J500" s="88">
        <v>35270</v>
      </c>
      <c r="K500" s="140">
        <f t="shared" si="314"/>
        <v>105810</v>
      </c>
      <c r="L500" s="315"/>
      <c r="M500" s="508">
        <f t="shared" si="315"/>
        <v>0</v>
      </c>
      <c r="N500" s="307">
        <f t="shared" si="316"/>
        <v>0</v>
      </c>
      <c r="O500" s="313">
        <f t="shared" si="317"/>
        <v>0</v>
      </c>
      <c r="P500" s="313">
        <f t="shared" si="318"/>
        <v>0</v>
      </c>
      <c r="Q500" s="313">
        <f t="shared" si="312"/>
        <v>0</v>
      </c>
      <c r="R500" s="244"/>
      <c r="S500" s="87">
        <v>3</v>
      </c>
      <c r="T500" s="304">
        <f t="shared" si="319"/>
        <v>35270</v>
      </c>
      <c r="U500" s="501">
        <f t="shared" si="313"/>
        <v>105810</v>
      </c>
    </row>
    <row r="501" spans="2:21" ht="30" customHeight="1">
      <c r="B501" s="80"/>
      <c r="C501" s="90">
        <v>8.4800000000000608</v>
      </c>
      <c r="D501" s="97"/>
      <c r="E501" s="97"/>
      <c r="F501" s="97"/>
      <c r="G501" s="98" t="s">
        <v>142</v>
      </c>
      <c r="H501" s="102" t="s">
        <v>29</v>
      </c>
      <c r="I501" s="87">
        <v>125</v>
      </c>
      <c r="J501" s="88">
        <v>9289</v>
      </c>
      <c r="K501" s="140">
        <f t="shared" si="314"/>
        <v>1161125</v>
      </c>
      <c r="L501" s="315"/>
      <c r="M501" s="508">
        <f t="shared" si="315"/>
        <v>0</v>
      </c>
      <c r="N501" s="307">
        <f t="shared" si="316"/>
        <v>0</v>
      </c>
      <c r="O501" s="313">
        <f t="shared" si="317"/>
        <v>0</v>
      </c>
      <c r="P501" s="313">
        <f t="shared" si="318"/>
        <v>0</v>
      </c>
      <c r="Q501" s="313">
        <f t="shared" si="312"/>
        <v>0</v>
      </c>
      <c r="R501" s="244"/>
      <c r="S501" s="87">
        <v>125</v>
      </c>
      <c r="T501" s="304">
        <f t="shared" si="319"/>
        <v>9289</v>
      </c>
      <c r="U501" s="501">
        <f t="shared" si="313"/>
        <v>1161125</v>
      </c>
    </row>
    <row r="502" spans="2:21" ht="30" customHeight="1">
      <c r="B502" s="80"/>
      <c r="C502" s="90">
        <v>8.4900000000000606</v>
      </c>
      <c r="D502" s="97"/>
      <c r="E502" s="97"/>
      <c r="F502" s="97"/>
      <c r="G502" s="98" t="s">
        <v>143</v>
      </c>
      <c r="H502" s="102" t="s">
        <v>29</v>
      </c>
      <c r="I502" s="87">
        <v>20</v>
      </c>
      <c r="J502" s="88">
        <v>2782</v>
      </c>
      <c r="K502" s="140">
        <f t="shared" si="314"/>
        <v>55640</v>
      </c>
      <c r="L502" s="315"/>
      <c r="M502" s="508">
        <f t="shared" si="315"/>
        <v>0</v>
      </c>
      <c r="N502" s="307">
        <f t="shared" si="316"/>
        <v>0</v>
      </c>
      <c r="O502" s="313">
        <f t="shared" si="317"/>
        <v>0</v>
      </c>
      <c r="P502" s="313">
        <f t="shared" si="318"/>
        <v>0</v>
      </c>
      <c r="Q502" s="313">
        <f t="shared" si="312"/>
        <v>0</v>
      </c>
      <c r="R502" s="244"/>
      <c r="S502" s="87">
        <v>20</v>
      </c>
      <c r="T502" s="304">
        <f t="shared" si="319"/>
        <v>2782</v>
      </c>
      <c r="U502" s="501">
        <f t="shared" si="313"/>
        <v>55640</v>
      </c>
    </row>
    <row r="503" spans="2:21" ht="30" customHeight="1">
      <c r="B503" s="80"/>
      <c r="C503" s="90">
        <v>8.5000000000000604</v>
      </c>
      <c r="D503" s="97"/>
      <c r="E503" s="97"/>
      <c r="F503" s="97"/>
      <c r="G503" s="98" t="s">
        <v>144</v>
      </c>
      <c r="H503" s="102" t="s">
        <v>29</v>
      </c>
      <c r="I503" s="87">
        <v>20</v>
      </c>
      <c r="J503" s="88">
        <v>10352</v>
      </c>
      <c r="K503" s="140">
        <f t="shared" si="314"/>
        <v>207040</v>
      </c>
      <c r="L503" s="315"/>
      <c r="M503" s="508">
        <f t="shared" si="315"/>
        <v>0</v>
      </c>
      <c r="N503" s="307">
        <f t="shared" si="316"/>
        <v>0</v>
      </c>
      <c r="O503" s="313">
        <f t="shared" si="317"/>
        <v>0</v>
      </c>
      <c r="P503" s="313">
        <f t="shared" si="318"/>
        <v>0</v>
      </c>
      <c r="Q503" s="313">
        <f t="shared" si="312"/>
        <v>0</v>
      </c>
      <c r="R503" s="244"/>
      <c r="S503" s="87">
        <v>20</v>
      </c>
      <c r="T503" s="304">
        <f t="shared" si="319"/>
        <v>10352</v>
      </c>
      <c r="U503" s="501">
        <f t="shared" si="313"/>
        <v>207040</v>
      </c>
    </row>
    <row r="504" spans="2:21" ht="30" customHeight="1">
      <c r="B504" s="80"/>
      <c r="C504" s="90">
        <v>8.5100000000000602</v>
      </c>
      <c r="D504" s="97"/>
      <c r="E504" s="97"/>
      <c r="F504" s="97"/>
      <c r="G504" s="98" t="s">
        <v>145</v>
      </c>
      <c r="H504" s="102" t="s">
        <v>29</v>
      </c>
      <c r="I504" s="87">
        <v>30</v>
      </c>
      <c r="J504" s="88">
        <v>22697</v>
      </c>
      <c r="K504" s="140">
        <f t="shared" si="314"/>
        <v>680910</v>
      </c>
      <c r="L504" s="315"/>
      <c r="M504" s="508">
        <f t="shared" si="315"/>
        <v>0</v>
      </c>
      <c r="N504" s="307">
        <f t="shared" si="316"/>
        <v>0</v>
      </c>
      <c r="O504" s="313">
        <f t="shared" si="317"/>
        <v>0</v>
      </c>
      <c r="P504" s="313">
        <f t="shared" si="318"/>
        <v>0</v>
      </c>
      <c r="Q504" s="313">
        <f t="shared" si="312"/>
        <v>0</v>
      </c>
      <c r="R504" s="244"/>
      <c r="S504" s="87">
        <v>30</v>
      </c>
      <c r="T504" s="304">
        <f t="shared" si="319"/>
        <v>22697</v>
      </c>
      <c r="U504" s="501">
        <f t="shared" si="313"/>
        <v>680910</v>
      </c>
    </row>
    <row r="505" spans="2:21" ht="30" customHeight="1">
      <c r="B505" s="80"/>
      <c r="C505" s="90">
        <v>8.52000000000006</v>
      </c>
      <c r="D505" s="97"/>
      <c r="E505" s="97"/>
      <c r="F505" s="97"/>
      <c r="G505" s="98" t="s">
        <v>146</v>
      </c>
      <c r="H505" s="102" t="s">
        <v>29</v>
      </c>
      <c r="I505" s="87">
        <v>268</v>
      </c>
      <c r="J505" s="88">
        <v>2179</v>
      </c>
      <c r="K505" s="140">
        <f t="shared" si="314"/>
        <v>583972</v>
      </c>
      <c r="L505" s="315"/>
      <c r="M505" s="508">
        <f t="shared" si="315"/>
        <v>0</v>
      </c>
      <c r="N505" s="307">
        <f t="shared" si="316"/>
        <v>0</v>
      </c>
      <c r="O505" s="313">
        <f t="shared" si="317"/>
        <v>0</v>
      </c>
      <c r="P505" s="313">
        <f t="shared" si="318"/>
        <v>0</v>
      </c>
      <c r="Q505" s="313">
        <f t="shared" si="312"/>
        <v>0</v>
      </c>
      <c r="R505" s="244"/>
      <c r="S505" s="87">
        <v>268</v>
      </c>
      <c r="T505" s="304">
        <f t="shared" si="319"/>
        <v>2179</v>
      </c>
      <c r="U505" s="501">
        <f t="shared" si="313"/>
        <v>583972</v>
      </c>
    </row>
    <row r="506" spans="2:21" ht="30" customHeight="1">
      <c r="B506" s="80"/>
      <c r="C506" s="90">
        <v>8.5300000000000598</v>
      </c>
      <c r="D506" s="97"/>
      <c r="E506" s="97"/>
      <c r="F506" s="97"/>
      <c r="G506" s="98" t="s">
        <v>147</v>
      </c>
      <c r="H506" s="102" t="s">
        <v>29</v>
      </c>
      <c r="I506" s="87">
        <v>27</v>
      </c>
      <c r="J506" s="88">
        <v>2179</v>
      </c>
      <c r="K506" s="140">
        <f t="shared" si="314"/>
        <v>58833</v>
      </c>
      <c r="L506" s="315"/>
      <c r="M506" s="508">
        <f t="shared" si="315"/>
        <v>0</v>
      </c>
      <c r="N506" s="307">
        <f t="shared" si="316"/>
        <v>0</v>
      </c>
      <c r="O506" s="313">
        <f t="shared" si="317"/>
        <v>0</v>
      </c>
      <c r="P506" s="313">
        <f t="shared" si="318"/>
        <v>0</v>
      </c>
      <c r="Q506" s="313">
        <f t="shared" si="312"/>
        <v>0</v>
      </c>
      <c r="R506" s="244"/>
      <c r="S506" s="87">
        <v>27</v>
      </c>
      <c r="T506" s="304">
        <f t="shared" si="319"/>
        <v>2179</v>
      </c>
      <c r="U506" s="501">
        <f t="shared" si="313"/>
        <v>58833</v>
      </c>
    </row>
    <row r="507" spans="2:21" ht="30" customHeight="1">
      <c r="B507" s="80"/>
      <c r="C507" s="90">
        <v>8.5400000000000595</v>
      </c>
      <c r="D507" s="97"/>
      <c r="E507" s="97"/>
      <c r="F507" s="97"/>
      <c r="G507" s="98" t="s">
        <v>148</v>
      </c>
      <c r="H507" s="102" t="s">
        <v>29</v>
      </c>
      <c r="I507" s="87">
        <v>13</v>
      </c>
      <c r="J507" s="88">
        <v>103724</v>
      </c>
      <c r="K507" s="140">
        <f t="shared" si="314"/>
        <v>1348412</v>
      </c>
      <c r="L507" s="315"/>
      <c r="M507" s="508">
        <f t="shared" si="315"/>
        <v>0</v>
      </c>
      <c r="N507" s="307">
        <f t="shared" si="316"/>
        <v>0</v>
      </c>
      <c r="O507" s="313">
        <f t="shared" si="317"/>
        <v>0</v>
      </c>
      <c r="P507" s="313">
        <f t="shared" si="318"/>
        <v>0</v>
      </c>
      <c r="Q507" s="313">
        <f t="shared" si="312"/>
        <v>0</v>
      </c>
      <c r="R507" s="244"/>
      <c r="S507" s="87">
        <v>13</v>
      </c>
      <c r="T507" s="304">
        <f t="shared" si="319"/>
        <v>103724</v>
      </c>
      <c r="U507" s="501">
        <f t="shared" si="313"/>
        <v>1348412</v>
      </c>
    </row>
    <row r="508" spans="2:21" ht="30" customHeight="1">
      <c r="B508" s="80"/>
      <c r="C508" s="90">
        <v>8.55000000000007</v>
      </c>
      <c r="D508" s="97"/>
      <c r="E508" s="97"/>
      <c r="F508" s="97"/>
      <c r="G508" s="98" t="s">
        <v>149</v>
      </c>
      <c r="H508" s="102" t="s">
        <v>29</v>
      </c>
      <c r="I508" s="87">
        <v>2</v>
      </c>
      <c r="J508" s="88">
        <v>147572</v>
      </c>
      <c r="K508" s="140">
        <f t="shared" si="314"/>
        <v>295144</v>
      </c>
      <c r="L508" s="315"/>
      <c r="M508" s="508">
        <f t="shared" si="315"/>
        <v>0</v>
      </c>
      <c r="N508" s="307">
        <f t="shared" si="316"/>
        <v>0</v>
      </c>
      <c r="O508" s="313">
        <f t="shared" si="317"/>
        <v>0</v>
      </c>
      <c r="P508" s="313">
        <f t="shared" si="318"/>
        <v>0</v>
      </c>
      <c r="Q508" s="313">
        <f t="shared" si="312"/>
        <v>0</v>
      </c>
      <c r="R508" s="244"/>
      <c r="S508" s="87">
        <v>2</v>
      </c>
      <c r="T508" s="304">
        <f t="shared" si="319"/>
        <v>147572</v>
      </c>
      <c r="U508" s="501">
        <f t="shared" si="313"/>
        <v>295144</v>
      </c>
    </row>
    <row r="509" spans="2:21" ht="30" customHeight="1">
      <c r="B509" s="80"/>
      <c r="C509" s="90">
        <v>8.5600000000000698</v>
      </c>
      <c r="D509" s="97"/>
      <c r="E509" s="97"/>
      <c r="F509" s="97"/>
      <c r="G509" s="98" t="s">
        <v>150</v>
      </c>
      <c r="H509" s="102" t="s">
        <v>29</v>
      </c>
      <c r="I509" s="87">
        <v>12</v>
      </c>
      <c r="J509" s="88">
        <v>181994</v>
      </c>
      <c r="K509" s="140">
        <f t="shared" si="314"/>
        <v>2183928</v>
      </c>
      <c r="L509" s="315"/>
      <c r="M509" s="508">
        <f t="shared" si="315"/>
        <v>0</v>
      </c>
      <c r="N509" s="307">
        <f t="shared" si="316"/>
        <v>0</v>
      </c>
      <c r="O509" s="313">
        <f t="shared" si="317"/>
        <v>0</v>
      </c>
      <c r="P509" s="313">
        <f t="shared" si="318"/>
        <v>0</v>
      </c>
      <c r="Q509" s="313">
        <f t="shared" si="312"/>
        <v>0</v>
      </c>
      <c r="R509" s="244"/>
      <c r="S509" s="87">
        <v>12</v>
      </c>
      <c r="T509" s="304">
        <f t="shared" si="319"/>
        <v>181994</v>
      </c>
      <c r="U509" s="501">
        <f t="shared" si="313"/>
        <v>2183928</v>
      </c>
    </row>
    <row r="510" spans="2:21" ht="30" customHeight="1">
      <c r="B510" s="80"/>
      <c r="C510" s="90">
        <v>8.5700000000000696</v>
      </c>
      <c r="D510" s="97"/>
      <c r="E510" s="97"/>
      <c r="F510" s="97"/>
      <c r="G510" s="98" t="s">
        <v>151</v>
      </c>
      <c r="H510" s="102" t="s">
        <v>29</v>
      </c>
      <c r="I510" s="87">
        <v>175</v>
      </c>
      <c r="J510" s="88">
        <v>54287</v>
      </c>
      <c r="K510" s="140">
        <f t="shared" si="314"/>
        <v>9500225</v>
      </c>
      <c r="L510" s="315"/>
      <c r="M510" s="508">
        <f t="shared" si="315"/>
        <v>0</v>
      </c>
      <c r="N510" s="307">
        <f t="shared" si="316"/>
        <v>22</v>
      </c>
      <c r="O510" s="313">
        <f t="shared" si="317"/>
        <v>0</v>
      </c>
      <c r="P510" s="313">
        <f t="shared" si="318"/>
        <v>1194314</v>
      </c>
      <c r="Q510" s="313">
        <f t="shared" si="312"/>
        <v>-1194314</v>
      </c>
      <c r="R510" s="244"/>
      <c r="S510" s="87">
        <v>153</v>
      </c>
      <c r="T510" s="304">
        <f t="shared" si="319"/>
        <v>54287</v>
      </c>
      <c r="U510" s="501">
        <f t="shared" si="313"/>
        <v>8305911</v>
      </c>
    </row>
    <row r="511" spans="2:21" ht="30" customHeight="1">
      <c r="B511" s="80"/>
      <c r="C511" s="90">
        <v>8.5800000000000693</v>
      </c>
      <c r="D511" s="97"/>
      <c r="E511" s="97"/>
      <c r="F511" s="97"/>
      <c r="G511" s="98" t="s">
        <v>343</v>
      </c>
      <c r="H511" s="102" t="s">
        <v>29</v>
      </c>
      <c r="I511" s="87">
        <v>6</v>
      </c>
      <c r="J511" s="88">
        <v>56107</v>
      </c>
      <c r="K511" s="140">
        <f t="shared" si="314"/>
        <v>336642</v>
      </c>
      <c r="L511" s="315"/>
      <c r="M511" s="508">
        <f t="shared" si="315"/>
        <v>0</v>
      </c>
      <c r="N511" s="307">
        <f t="shared" si="316"/>
        <v>0</v>
      </c>
      <c r="O511" s="313">
        <f t="shared" si="317"/>
        <v>0</v>
      </c>
      <c r="P511" s="313">
        <f t="shared" si="318"/>
        <v>0</v>
      </c>
      <c r="Q511" s="313">
        <f t="shared" si="312"/>
        <v>0</v>
      </c>
      <c r="R511" s="244"/>
      <c r="S511" s="87">
        <v>6</v>
      </c>
      <c r="T511" s="304">
        <f t="shared" si="319"/>
        <v>56107</v>
      </c>
      <c r="U511" s="501">
        <f t="shared" si="313"/>
        <v>336642</v>
      </c>
    </row>
    <row r="512" spans="2:21" ht="30" customHeight="1">
      <c r="B512" s="80"/>
      <c r="C512" s="90">
        <v>8.5900000000000691</v>
      </c>
      <c r="D512" s="97"/>
      <c r="E512" s="97"/>
      <c r="F512" s="97"/>
      <c r="G512" s="98" t="s">
        <v>344</v>
      </c>
      <c r="H512" s="102" t="s">
        <v>29</v>
      </c>
      <c r="I512" s="87">
        <v>8</v>
      </c>
      <c r="J512" s="88">
        <v>68280</v>
      </c>
      <c r="K512" s="140">
        <f t="shared" si="314"/>
        <v>546240</v>
      </c>
      <c r="L512" s="315"/>
      <c r="M512" s="508">
        <f t="shared" si="315"/>
        <v>46</v>
      </c>
      <c r="N512" s="307">
        <f t="shared" si="316"/>
        <v>0</v>
      </c>
      <c r="O512" s="313">
        <f t="shared" si="317"/>
        <v>3140880</v>
      </c>
      <c r="P512" s="313">
        <f t="shared" si="318"/>
        <v>0</v>
      </c>
      <c r="Q512" s="313">
        <f t="shared" si="312"/>
        <v>3140880</v>
      </c>
      <c r="R512" s="244"/>
      <c r="S512" s="87">
        <f>8+46</f>
        <v>54</v>
      </c>
      <c r="T512" s="304">
        <f t="shared" si="319"/>
        <v>68280</v>
      </c>
      <c r="U512" s="501">
        <f t="shared" si="313"/>
        <v>3687120</v>
      </c>
    </row>
    <row r="513" spans="2:22" ht="30" customHeight="1">
      <c r="B513" s="80"/>
      <c r="C513" s="90">
        <v>8.6000000000000707</v>
      </c>
      <c r="D513" s="97"/>
      <c r="E513" s="97"/>
      <c r="F513" s="97"/>
      <c r="G513" s="98" t="s">
        <v>152</v>
      </c>
      <c r="H513" s="102" t="s">
        <v>153</v>
      </c>
      <c r="I513" s="87">
        <v>1</v>
      </c>
      <c r="J513" s="88">
        <v>40164853</v>
      </c>
      <c r="K513" s="140">
        <f t="shared" si="314"/>
        <v>40164853</v>
      </c>
      <c r="L513" s="315"/>
      <c r="M513" s="508">
        <f t="shared" si="315"/>
        <v>0</v>
      </c>
      <c r="N513" s="307">
        <v>1</v>
      </c>
      <c r="O513" s="313">
        <f t="shared" si="317"/>
        <v>0</v>
      </c>
      <c r="P513" s="313">
        <f t="shared" si="318"/>
        <v>40164853</v>
      </c>
      <c r="Q513" s="313">
        <f t="shared" si="312"/>
        <v>-40164853</v>
      </c>
      <c r="R513" s="244"/>
      <c r="S513" s="87">
        <v>0</v>
      </c>
      <c r="T513" s="304">
        <f t="shared" si="319"/>
        <v>40164853</v>
      </c>
      <c r="U513" s="501">
        <f t="shared" si="313"/>
        <v>0</v>
      </c>
    </row>
    <row r="514" spans="2:22" ht="30" customHeight="1">
      <c r="B514" s="80"/>
      <c r="C514" s="90">
        <v>8.6100000000000705</v>
      </c>
      <c r="D514" s="97"/>
      <c r="E514" s="97"/>
      <c r="F514" s="97"/>
      <c r="G514" s="98" t="s">
        <v>154</v>
      </c>
      <c r="H514" s="102" t="s">
        <v>65</v>
      </c>
      <c r="I514" s="87">
        <v>401</v>
      </c>
      <c r="J514" s="88">
        <v>156880</v>
      </c>
      <c r="K514" s="140">
        <f t="shared" si="314"/>
        <v>62908880</v>
      </c>
      <c r="L514" s="315"/>
      <c r="M514" s="508">
        <f t="shared" si="315"/>
        <v>31</v>
      </c>
      <c r="N514" s="307">
        <f t="shared" si="316"/>
        <v>0</v>
      </c>
      <c r="O514" s="313">
        <f t="shared" si="317"/>
        <v>4863280</v>
      </c>
      <c r="P514" s="313">
        <f t="shared" si="318"/>
        <v>0</v>
      </c>
      <c r="Q514" s="313">
        <f t="shared" si="312"/>
        <v>4863280</v>
      </c>
      <c r="R514" s="244"/>
      <c r="S514" s="87">
        <v>432</v>
      </c>
      <c r="T514" s="304">
        <f t="shared" si="319"/>
        <v>156880</v>
      </c>
      <c r="U514" s="501">
        <f t="shared" si="313"/>
        <v>67772160</v>
      </c>
    </row>
    <row r="515" spans="2:22" ht="30" customHeight="1">
      <c r="B515" s="80"/>
      <c r="C515" s="90">
        <v>8.6200000000000703</v>
      </c>
      <c r="D515" s="97"/>
      <c r="E515" s="97"/>
      <c r="F515" s="97"/>
      <c r="G515" s="98" t="s">
        <v>155</v>
      </c>
      <c r="H515" s="102" t="s">
        <v>29</v>
      </c>
      <c r="I515" s="87">
        <v>8</v>
      </c>
      <c r="J515" s="88">
        <v>4148385</v>
      </c>
      <c r="K515" s="140">
        <f t="shared" si="314"/>
        <v>33187080</v>
      </c>
      <c r="L515" s="315"/>
      <c r="M515" s="508">
        <f t="shared" si="315"/>
        <v>0</v>
      </c>
      <c r="N515" s="307">
        <f t="shared" si="316"/>
        <v>0</v>
      </c>
      <c r="O515" s="313">
        <f t="shared" si="317"/>
        <v>0</v>
      </c>
      <c r="P515" s="313">
        <f t="shared" si="318"/>
        <v>0</v>
      </c>
      <c r="Q515" s="313">
        <f t="shared" si="312"/>
        <v>0</v>
      </c>
      <c r="R515" s="244"/>
      <c r="S515" s="87">
        <v>8</v>
      </c>
      <c r="T515" s="304">
        <f t="shared" si="319"/>
        <v>4148385</v>
      </c>
      <c r="U515" s="501">
        <f t="shared" si="313"/>
        <v>33187080</v>
      </c>
    </row>
    <row r="516" spans="2:22" ht="30" customHeight="1">
      <c r="B516" s="80"/>
      <c r="C516" s="90">
        <v>8.6300000000000807</v>
      </c>
      <c r="D516" s="97"/>
      <c r="E516" s="97"/>
      <c r="F516" s="97"/>
      <c r="G516" s="98" t="s">
        <v>156</v>
      </c>
      <c r="H516" s="102" t="s">
        <v>29</v>
      </c>
      <c r="I516" s="87">
        <v>6</v>
      </c>
      <c r="J516" s="88">
        <v>2713212</v>
      </c>
      <c r="K516" s="140">
        <f t="shared" si="314"/>
        <v>16279272</v>
      </c>
      <c r="L516" s="315"/>
      <c r="M516" s="508">
        <f t="shared" si="315"/>
        <v>14</v>
      </c>
      <c r="N516" s="307">
        <f t="shared" si="316"/>
        <v>0</v>
      </c>
      <c r="O516" s="313">
        <f t="shared" si="317"/>
        <v>37984968</v>
      </c>
      <c r="P516" s="313">
        <f t="shared" si="318"/>
        <v>0</v>
      </c>
      <c r="Q516" s="313">
        <f t="shared" si="312"/>
        <v>37984968</v>
      </c>
      <c r="R516" s="244"/>
      <c r="S516" s="87">
        <v>20</v>
      </c>
      <c r="T516" s="304">
        <f t="shared" si="319"/>
        <v>2713212</v>
      </c>
      <c r="U516" s="501">
        <f t="shared" si="313"/>
        <v>54264240</v>
      </c>
    </row>
    <row r="517" spans="2:22" ht="30" customHeight="1">
      <c r="B517" s="80"/>
      <c r="C517" s="90">
        <v>8.6400000000000805</v>
      </c>
      <c r="D517" s="97"/>
      <c r="E517" s="97"/>
      <c r="F517" s="97"/>
      <c r="G517" s="98" t="s">
        <v>157</v>
      </c>
      <c r="H517" s="102" t="s">
        <v>29</v>
      </c>
      <c r="I517" s="87">
        <v>7</v>
      </c>
      <c r="J517" s="88">
        <v>2009042</v>
      </c>
      <c r="K517" s="140">
        <f t="shared" si="314"/>
        <v>14063294</v>
      </c>
      <c r="L517" s="315"/>
      <c r="M517" s="508">
        <f t="shared" si="315"/>
        <v>1</v>
      </c>
      <c r="N517" s="307">
        <f t="shared" si="316"/>
        <v>0</v>
      </c>
      <c r="O517" s="313">
        <f t="shared" si="317"/>
        <v>2009042</v>
      </c>
      <c r="P517" s="313">
        <f t="shared" si="318"/>
        <v>0</v>
      </c>
      <c r="Q517" s="313">
        <f t="shared" si="312"/>
        <v>2009042</v>
      </c>
      <c r="R517" s="244"/>
      <c r="S517" s="87">
        <v>8</v>
      </c>
      <c r="T517" s="304">
        <f t="shared" si="319"/>
        <v>2009042</v>
      </c>
      <c r="U517" s="501">
        <f t="shared" si="313"/>
        <v>16072336</v>
      </c>
    </row>
    <row r="518" spans="2:22" ht="30" customHeight="1">
      <c r="B518" s="80"/>
      <c r="C518" s="90">
        <v>8.6500000000000803</v>
      </c>
      <c r="D518" s="97"/>
      <c r="E518" s="97"/>
      <c r="F518" s="97"/>
      <c r="G518" s="98" t="s">
        <v>158</v>
      </c>
      <c r="H518" s="102" t="s">
        <v>29</v>
      </c>
      <c r="I518" s="87">
        <v>7</v>
      </c>
      <c r="J518" s="88">
        <v>56195</v>
      </c>
      <c r="K518" s="140">
        <f t="shared" ref="K518:K524" si="320">I518*J518</f>
        <v>393365</v>
      </c>
      <c r="L518" s="315"/>
      <c r="M518" s="508">
        <f t="shared" ref="M518:M524" si="321">+IF(I518&lt;S518,S518-I518,0)</f>
        <v>0</v>
      </c>
      <c r="N518" s="307">
        <f t="shared" ref="N518:N524" si="322">+IF(I518&gt;S518,-S518+I518,0)</f>
        <v>0</v>
      </c>
      <c r="O518" s="313">
        <f t="shared" ref="O518:O524" si="323">+M518*J518</f>
        <v>0</v>
      </c>
      <c r="P518" s="313">
        <f t="shared" ref="P518:P524" si="324">+N518*J518</f>
        <v>0</v>
      </c>
      <c r="Q518" s="313">
        <f t="shared" si="312"/>
        <v>0</v>
      </c>
      <c r="R518" s="244"/>
      <c r="S518" s="87">
        <v>7</v>
      </c>
      <c r="T518" s="304">
        <f t="shared" ref="T518:T524" si="325">+J518</f>
        <v>56195</v>
      </c>
      <c r="U518" s="501">
        <f t="shared" si="313"/>
        <v>393365</v>
      </c>
    </row>
    <row r="519" spans="2:22" ht="30" customHeight="1">
      <c r="B519" s="80"/>
      <c r="C519" s="90">
        <v>8.6600000000000801</v>
      </c>
      <c r="D519" s="97"/>
      <c r="E519" s="97"/>
      <c r="F519" s="97"/>
      <c r="G519" s="98" t="s">
        <v>159</v>
      </c>
      <c r="H519" s="102" t="s">
        <v>29</v>
      </c>
      <c r="I519" s="87">
        <v>7</v>
      </c>
      <c r="J519" s="88">
        <v>74572</v>
      </c>
      <c r="K519" s="140">
        <f t="shared" si="320"/>
        <v>522004</v>
      </c>
      <c r="L519" s="315"/>
      <c r="M519" s="508">
        <f t="shared" si="321"/>
        <v>0</v>
      </c>
      <c r="N519" s="307">
        <f t="shared" si="322"/>
        <v>0</v>
      </c>
      <c r="O519" s="313">
        <f t="shared" si="323"/>
        <v>0</v>
      </c>
      <c r="P519" s="313">
        <f t="shared" si="324"/>
        <v>0</v>
      </c>
      <c r="Q519" s="313">
        <f t="shared" ref="Q519:Q524" si="326">+O519-P519</f>
        <v>0</v>
      </c>
      <c r="R519" s="244"/>
      <c r="S519" s="87">
        <v>7</v>
      </c>
      <c r="T519" s="304">
        <f t="shared" si="325"/>
        <v>74572</v>
      </c>
      <c r="U519" s="501">
        <f t="shared" ref="U519:U524" si="327">+S519*T519</f>
        <v>522004</v>
      </c>
    </row>
    <row r="520" spans="2:22" ht="30" customHeight="1">
      <c r="B520" s="80"/>
      <c r="C520" s="90">
        <v>8.6700000000000799</v>
      </c>
      <c r="D520" s="97"/>
      <c r="E520" s="97"/>
      <c r="F520" s="97"/>
      <c r="G520" s="98" t="s">
        <v>160</v>
      </c>
      <c r="H520" s="102" t="s">
        <v>29</v>
      </c>
      <c r="I520" s="87">
        <v>7</v>
      </c>
      <c r="J520" s="88">
        <v>48836</v>
      </c>
      <c r="K520" s="140">
        <f t="shared" si="320"/>
        <v>341852</v>
      </c>
      <c r="L520" s="315"/>
      <c r="M520" s="508">
        <f t="shared" si="321"/>
        <v>0</v>
      </c>
      <c r="N520" s="307">
        <f t="shared" si="322"/>
        <v>0</v>
      </c>
      <c r="O520" s="313">
        <f t="shared" si="323"/>
        <v>0</v>
      </c>
      <c r="P520" s="313">
        <f t="shared" si="324"/>
        <v>0</v>
      </c>
      <c r="Q520" s="313">
        <f t="shared" si="326"/>
        <v>0</v>
      </c>
      <c r="R520" s="244"/>
      <c r="S520" s="87">
        <v>7</v>
      </c>
      <c r="T520" s="304">
        <f t="shared" si="325"/>
        <v>48836</v>
      </c>
      <c r="U520" s="501">
        <f t="shared" si="327"/>
        <v>341852</v>
      </c>
    </row>
    <row r="521" spans="2:22" ht="30" customHeight="1">
      <c r="B521" s="80"/>
      <c r="C521" s="90">
        <v>8.6800000000000797</v>
      </c>
      <c r="D521" s="97"/>
      <c r="E521" s="97"/>
      <c r="F521" s="97"/>
      <c r="G521" s="98" t="s">
        <v>161</v>
      </c>
      <c r="H521" s="102" t="s">
        <v>29</v>
      </c>
      <c r="I521" s="87">
        <v>7</v>
      </c>
      <c r="J521" s="88">
        <v>48515</v>
      </c>
      <c r="K521" s="140">
        <f t="shared" si="320"/>
        <v>339605</v>
      </c>
      <c r="L521" s="315"/>
      <c r="M521" s="508">
        <f t="shared" si="321"/>
        <v>7</v>
      </c>
      <c r="N521" s="307">
        <f t="shared" si="322"/>
        <v>0</v>
      </c>
      <c r="O521" s="313">
        <f t="shared" si="323"/>
        <v>339605</v>
      </c>
      <c r="P521" s="313">
        <f t="shared" si="324"/>
        <v>0</v>
      </c>
      <c r="Q521" s="313">
        <f t="shared" si="326"/>
        <v>339605</v>
      </c>
      <c r="R521" s="244"/>
      <c r="S521" s="87">
        <v>14</v>
      </c>
      <c r="T521" s="304">
        <f t="shared" si="325"/>
        <v>48515</v>
      </c>
      <c r="U521" s="501">
        <f t="shared" si="327"/>
        <v>679210</v>
      </c>
    </row>
    <row r="522" spans="2:22" ht="30" customHeight="1">
      <c r="B522" s="80"/>
      <c r="C522" s="90">
        <v>8.6900000000000794</v>
      </c>
      <c r="D522" s="97"/>
      <c r="E522" s="97"/>
      <c r="F522" s="97"/>
      <c r="G522" s="98" t="s">
        <v>162</v>
      </c>
      <c r="H522" s="102" t="s">
        <v>29</v>
      </c>
      <c r="I522" s="87">
        <v>35</v>
      </c>
      <c r="J522" s="88">
        <v>56195</v>
      </c>
      <c r="K522" s="140">
        <f t="shared" si="320"/>
        <v>1966825</v>
      </c>
      <c r="L522" s="315"/>
      <c r="M522" s="508">
        <f t="shared" si="321"/>
        <v>0</v>
      </c>
      <c r="N522" s="307">
        <f t="shared" si="322"/>
        <v>0</v>
      </c>
      <c r="O522" s="313">
        <f t="shared" si="323"/>
        <v>0</v>
      </c>
      <c r="P522" s="313">
        <f t="shared" si="324"/>
        <v>0</v>
      </c>
      <c r="Q522" s="313">
        <f t="shared" si="326"/>
        <v>0</v>
      </c>
      <c r="R522" s="244"/>
      <c r="S522" s="87">
        <v>35</v>
      </c>
      <c r="T522" s="304">
        <f t="shared" si="325"/>
        <v>56195</v>
      </c>
      <c r="U522" s="501">
        <f t="shared" si="327"/>
        <v>1966825</v>
      </c>
    </row>
    <row r="523" spans="2:22" ht="60">
      <c r="B523" s="80"/>
      <c r="C523" s="90">
        <v>8.7000000000000899</v>
      </c>
      <c r="D523" s="97"/>
      <c r="E523" s="97"/>
      <c r="F523" s="97"/>
      <c r="G523" s="98" t="s">
        <v>163</v>
      </c>
      <c r="H523" s="102" t="s">
        <v>29</v>
      </c>
      <c r="I523" s="87">
        <v>7</v>
      </c>
      <c r="J523" s="88">
        <v>3696890</v>
      </c>
      <c r="K523" s="140">
        <f t="shared" si="320"/>
        <v>25878230</v>
      </c>
      <c r="L523" s="315"/>
      <c r="M523" s="508">
        <f t="shared" si="321"/>
        <v>0</v>
      </c>
      <c r="N523" s="307">
        <f t="shared" si="322"/>
        <v>0</v>
      </c>
      <c r="O523" s="313">
        <f t="shared" si="323"/>
        <v>0</v>
      </c>
      <c r="P523" s="313">
        <f t="shared" si="324"/>
        <v>0</v>
      </c>
      <c r="Q523" s="313">
        <f t="shared" si="326"/>
        <v>0</v>
      </c>
      <c r="R523" s="244"/>
      <c r="S523" s="87">
        <v>7</v>
      </c>
      <c r="T523" s="304">
        <f t="shared" si="325"/>
        <v>3696890</v>
      </c>
      <c r="U523" s="501">
        <f t="shared" si="327"/>
        <v>25878230</v>
      </c>
    </row>
    <row r="524" spans="2:22" ht="60">
      <c r="B524" s="80"/>
      <c r="C524" s="90">
        <v>8.7100000000000897</v>
      </c>
      <c r="D524" s="97"/>
      <c r="E524" s="97"/>
      <c r="F524" s="97"/>
      <c r="G524" s="98" t="s">
        <v>164</v>
      </c>
      <c r="H524" s="102" t="s">
        <v>153</v>
      </c>
      <c r="I524" s="87">
        <v>1</v>
      </c>
      <c r="J524" s="88">
        <v>65748264</v>
      </c>
      <c r="K524" s="140">
        <f t="shared" si="320"/>
        <v>65748264</v>
      </c>
      <c r="L524" s="315"/>
      <c r="M524" s="508">
        <f t="shared" si="321"/>
        <v>0</v>
      </c>
      <c r="N524" s="307">
        <f t="shared" si="322"/>
        <v>0</v>
      </c>
      <c r="O524" s="313">
        <f t="shared" si="323"/>
        <v>0</v>
      </c>
      <c r="P524" s="313">
        <f t="shared" si="324"/>
        <v>0</v>
      </c>
      <c r="Q524" s="313">
        <f t="shared" si="326"/>
        <v>0</v>
      </c>
      <c r="R524" s="244"/>
      <c r="S524" s="87">
        <v>1</v>
      </c>
      <c r="T524" s="304">
        <f t="shared" si="325"/>
        <v>65748264</v>
      </c>
      <c r="U524" s="501">
        <f t="shared" si="327"/>
        <v>65748264</v>
      </c>
    </row>
    <row r="525" spans="2:22" ht="30" customHeight="1" thickBot="1">
      <c r="B525" s="80"/>
      <c r="C525" s="103" t="s">
        <v>8</v>
      </c>
      <c r="D525" s="592"/>
      <c r="E525" s="592"/>
      <c r="F525" s="592"/>
      <c r="G525" s="593"/>
      <c r="H525" s="592"/>
      <c r="I525" s="507"/>
      <c r="J525" s="104"/>
      <c r="K525" s="142">
        <f>SUM(K454:K524)</f>
        <v>405658374.63285398</v>
      </c>
      <c r="L525" s="325"/>
      <c r="M525" s="319"/>
      <c r="N525" s="319"/>
      <c r="O525" s="308">
        <f t="shared" ref="O525:P525" si="328">SUM(O454:O524)</f>
        <v>96946701.417746022</v>
      </c>
      <c r="P525" s="308">
        <f t="shared" si="328"/>
        <v>43134919.500600003</v>
      </c>
      <c r="Q525" s="308">
        <f>SUM(Q454:Q524)</f>
        <v>53811781.91714602</v>
      </c>
      <c r="R525" s="244"/>
      <c r="S525" s="309"/>
      <c r="T525" s="309"/>
      <c r="U525" s="506">
        <f>SUM(U454:U524)</f>
        <v>459470156.55000001</v>
      </c>
      <c r="V525" s="112"/>
    </row>
    <row r="526" spans="2:22" ht="30" customHeight="1" thickBot="1">
      <c r="B526" s="80"/>
      <c r="C526" s="886" t="s">
        <v>165</v>
      </c>
      <c r="D526" s="887"/>
      <c r="E526" s="887"/>
      <c r="F526" s="887"/>
      <c r="G526" s="887"/>
      <c r="H526" s="887"/>
      <c r="I526" s="887"/>
      <c r="J526" s="887"/>
      <c r="K526" s="887"/>
      <c r="L526" s="889"/>
      <c r="M526" s="887"/>
      <c r="N526" s="887"/>
      <c r="O526" s="920"/>
      <c r="P526" s="920"/>
      <c r="Q526" s="920"/>
      <c r="R526" s="589"/>
      <c r="S526" s="589"/>
      <c r="T526" s="589"/>
      <c r="U526" s="500"/>
    </row>
    <row r="527" spans="2:22" ht="30" customHeight="1">
      <c r="B527" s="80"/>
      <c r="C527" s="143">
        <v>9.1</v>
      </c>
      <c r="D527" s="251"/>
      <c r="E527" s="251"/>
      <c r="F527" s="251"/>
      <c r="G527" s="252" t="s">
        <v>166</v>
      </c>
      <c r="H527" s="251" t="s">
        <v>25</v>
      </c>
      <c r="I527" s="249">
        <v>359.09999999999997</v>
      </c>
      <c r="J527" s="246">
        <v>83705</v>
      </c>
      <c r="K527" s="140">
        <f t="shared" ref="K527:K538" si="329">I527*J527</f>
        <v>30058465.499999996</v>
      </c>
      <c r="L527" s="314"/>
      <c r="M527" s="508">
        <f t="shared" ref="M527:M538" si="330">+IF(I527&lt;S527,S527-I527,0)</f>
        <v>0</v>
      </c>
      <c r="N527" s="307">
        <f t="shared" ref="N527:N538" si="331">+IF(I527&gt;S527,-S527+I527,0)</f>
        <v>108.20999999999998</v>
      </c>
      <c r="O527" s="313">
        <f t="shared" ref="O527:O538" si="332">+M527*J527</f>
        <v>0</v>
      </c>
      <c r="P527" s="313">
        <f t="shared" ref="P527:P538" si="333">+N527*J527</f>
        <v>9057718.0499999989</v>
      </c>
      <c r="Q527" s="511">
        <f t="shared" ref="Q527:Q528" si="334">+O527-P527</f>
        <v>-9057718.0499999989</v>
      </c>
      <c r="R527" s="326"/>
      <c r="S527" s="303">
        <f>+'MEMORIAS DE CANTIDADES'!L4327</f>
        <v>250.89</v>
      </c>
      <c r="T527" s="304">
        <f t="shared" ref="T527:T538" si="335">+J527</f>
        <v>83705</v>
      </c>
      <c r="U527" s="501">
        <f t="shared" ref="U527" si="336">+S527*T527</f>
        <v>21000747.449999999</v>
      </c>
    </row>
    <row r="528" spans="2:22" ht="30" customHeight="1">
      <c r="B528" s="80"/>
      <c r="C528" s="143">
        <v>9.1999999999999993</v>
      </c>
      <c r="D528" s="99"/>
      <c r="E528" s="99"/>
      <c r="F528" s="99"/>
      <c r="G528" s="98" t="s">
        <v>167</v>
      </c>
      <c r="H528" s="97" t="s">
        <v>25</v>
      </c>
      <c r="I528" s="87">
        <v>239.39999999999998</v>
      </c>
      <c r="J528" s="88">
        <v>124019</v>
      </c>
      <c r="K528" s="140">
        <f t="shared" si="329"/>
        <v>29690148.599999998</v>
      </c>
      <c r="L528" s="315"/>
      <c r="M528" s="508">
        <f t="shared" si="330"/>
        <v>220.19999999999993</v>
      </c>
      <c r="N528" s="307">
        <f t="shared" si="331"/>
        <v>0</v>
      </c>
      <c r="O528" s="313">
        <f t="shared" si="332"/>
        <v>27308983.799999993</v>
      </c>
      <c r="P528" s="313">
        <f t="shared" si="333"/>
        <v>0</v>
      </c>
      <c r="Q528" s="511">
        <f t="shared" si="334"/>
        <v>27308983.799999993</v>
      </c>
      <c r="R528" s="321"/>
      <c r="S528" s="303">
        <f>+'MEMORIAS DE CANTIDADES'!L4347</f>
        <v>459.59999999999991</v>
      </c>
      <c r="T528" s="304">
        <f t="shared" si="335"/>
        <v>124019</v>
      </c>
      <c r="U528" s="501">
        <f t="shared" ref="U528:U538" si="337">+S528*T528</f>
        <v>56999132.399999991</v>
      </c>
    </row>
    <row r="529" spans="2:22" ht="30" customHeight="1">
      <c r="B529" s="80"/>
      <c r="C529" s="143">
        <v>9.3000000000000007</v>
      </c>
      <c r="D529" s="97"/>
      <c r="E529" s="97"/>
      <c r="F529" s="97"/>
      <c r="G529" s="98" t="s">
        <v>168</v>
      </c>
      <c r="H529" s="97" t="s">
        <v>21</v>
      </c>
      <c r="I529" s="87">
        <v>1197</v>
      </c>
      <c r="J529" s="88">
        <v>105387</v>
      </c>
      <c r="K529" s="140">
        <f t="shared" si="329"/>
        <v>126148239</v>
      </c>
      <c r="L529" s="315"/>
      <c r="M529" s="508">
        <f t="shared" si="330"/>
        <v>540.52000000000021</v>
      </c>
      <c r="N529" s="307">
        <f t="shared" si="331"/>
        <v>0</v>
      </c>
      <c r="O529" s="313">
        <f t="shared" si="332"/>
        <v>56963781.240000024</v>
      </c>
      <c r="P529" s="313">
        <f t="shared" si="333"/>
        <v>0</v>
      </c>
      <c r="Q529" s="511">
        <f t="shared" ref="Q529:Q538" si="338">+O529-P529</f>
        <v>56963781.240000024</v>
      </c>
      <c r="R529" s="321"/>
      <c r="S529" s="303">
        <f>+'MEMORIAS DE CANTIDADES'!L4368</f>
        <v>1737.5200000000002</v>
      </c>
      <c r="T529" s="304">
        <f t="shared" si="335"/>
        <v>105387</v>
      </c>
      <c r="U529" s="501">
        <f t="shared" si="337"/>
        <v>183112020.24000001</v>
      </c>
    </row>
    <row r="530" spans="2:22" ht="30" customHeight="1">
      <c r="B530" s="80"/>
      <c r="C530" s="143">
        <v>9.4</v>
      </c>
      <c r="D530" s="95"/>
      <c r="E530" s="95"/>
      <c r="F530" s="95"/>
      <c r="G530" s="100" t="s">
        <v>169</v>
      </c>
      <c r="H530" s="95" t="s">
        <v>21</v>
      </c>
      <c r="I530" s="87">
        <v>7.1999999999999993</v>
      </c>
      <c r="J530" s="88">
        <v>94459</v>
      </c>
      <c r="K530" s="140">
        <f t="shared" si="329"/>
        <v>680104.79999999993</v>
      </c>
      <c r="L530" s="315"/>
      <c r="M530" s="508">
        <f t="shared" si="330"/>
        <v>0</v>
      </c>
      <c r="N530" s="307">
        <f t="shared" si="331"/>
        <v>0</v>
      </c>
      <c r="O530" s="313">
        <f t="shared" si="332"/>
        <v>0</v>
      </c>
      <c r="P530" s="313">
        <f t="shared" si="333"/>
        <v>0</v>
      </c>
      <c r="Q530" s="511">
        <f t="shared" si="338"/>
        <v>0</v>
      </c>
      <c r="R530" s="321"/>
      <c r="S530" s="303">
        <f>+'MEMORIAS DE CANTIDADES'!L4399</f>
        <v>7.1999999999999993</v>
      </c>
      <c r="T530" s="304">
        <f t="shared" si="335"/>
        <v>94459</v>
      </c>
      <c r="U530" s="501">
        <f t="shared" si="337"/>
        <v>680104.79999999993</v>
      </c>
    </row>
    <row r="531" spans="2:22" ht="30" customHeight="1">
      <c r="B531" s="80"/>
      <c r="C531" s="143">
        <v>9.5</v>
      </c>
      <c r="D531" s="97"/>
      <c r="E531" s="97"/>
      <c r="F531" s="97"/>
      <c r="G531" s="98" t="s">
        <v>170</v>
      </c>
      <c r="H531" s="97" t="s">
        <v>21</v>
      </c>
      <c r="I531" s="87">
        <v>1197</v>
      </c>
      <c r="J531" s="101">
        <v>141371</v>
      </c>
      <c r="K531" s="140">
        <f t="shared" si="329"/>
        <v>169221087</v>
      </c>
      <c r="L531" s="315"/>
      <c r="M531" s="508">
        <f t="shared" si="330"/>
        <v>0</v>
      </c>
      <c r="N531" s="307">
        <f t="shared" si="331"/>
        <v>456.19999999999993</v>
      </c>
      <c r="O531" s="313">
        <f t="shared" si="332"/>
        <v>0</v>
      </c>
      <c r="P531" s="313">
        <f t="shared" si="333"/>
        <v>64493450.199999988</v>
      </c>
      <c r="Q531" s="511">
        <f t="shared" si="338"/>
        <v>-64493450.199999988</v>
      </c>
      <c r="R531" s="321"/>
      <c r="S531" s="303">
        <f>+'MEMORIAS DE CANTIDADES'!L4411</f>
        <v>740.80000000000007</v>
      </c>
      <c r="T531" s="304">
        <f t="shared" si="335"/>
        <v>141371</v>
      </c>
      <c r="U531" s="501">
        <f t="shared" si="337"/>
        <v>104727636.80000001</v>
      </c>
    </row>
    <row r="532" spans="2:22" ht="30" customHeight="1">
      <c r="B532" s="80"/>
      <c r="C532" s="143">
        <v>9.6</v>
      </c>
      <c r="D532" s="95"/>
      <c r="E532" s="95"/>
      <c r="F532" s="95"/>
      <c r="G532" s="100" t="s">
        <v>171</v>
      </c>
      <c r="H532" s="95" t="s">
        <v>21</v>
      </c>
      <c r="I532" s="87">
        <v>1114.3399999999997</v>
      </c>
      <c r="J532" s="101">
        <v>100955</v>
      </c>
      <c r="K532" s="140">
        <f t="shared" si="329"/>
        <v>112498194.69999997</v>
      </c>
      <c r="L532" s="315"/>
      <c r="M532" s="508">
        <f t="shared" si="330"/>
        <v>0</v>
      </c>
      <c r="N532" s="307">
        <f t="shared" si="331"/>
        <v>366.26999999999964</v>
      </c>
      <c r="O532" s="313">
        <f t="shared" si="332"/>
        <v>0</v>
      </c>
      <c r="P532" s="313">
        <f t="shared" si="333"/>
        <v>36976787.849999964</v>
      </c>
      <c r="Q532" s="511">
        <f t="shared" si="338"/>
        <v>-36976787.849999964</v>
      </c>
      <c r="R532" s="321"/>
      <c r="S532" s="303">
        <f>+'MEMORIAS DE CANTIDADES'!L4432</f>
        <v>748.07</v>
      </c>
      <c r="T532" s="304">
        <f t="shared" si="335"/>
        <v>100955</v>
      </c>
      <c r="U532" s="501">
        <f t="shared" si="337"/>
        <v>75521406.850000009</v>
      </c>
    </row>
    <row r="533" spans="2:22" ht="30" customHeight="1">
      <c r="B533" s="80"/>
      <c r="C533" s="143">
        <v>9.6999999999999993</v>
      </c>
      <c r="D533" s="97"/>
      <c r="E533" s="85"/>
      <c r="F533" s="97"/>
      <c r="G533" s="98" t="s">
        <v>345</v>
      </c>
      <c r="H533" s="97" t="s">
        <v>21</v>
      </c>
      <c r="I533" s="87">
        <v>1759.7060000000001</v>
      </c>
      <c r="J533" s="88">
        <v>16656</v>
      </c>
      <c r="K533" s="140">
        <f t="shared" si="329"/>
        <v>29309663.136000004</v>
      </c>
      <c r="L533" s="315"/>
      <c r="M533" s="508">
        <f t="shared" si="330"/>
        <v>0</v>
      </c>
      <c r="N533" s="307">
        <f t="shared" si="331"/>
        <v>1309.1500000000001</v>
      </c>
      <c r="O533" s="313">
        <f t="shared" si="332"/>
        <v>0</v>
      </c>
      <c r="P533" s="313">
        <f t="shared" si="333"/>
        <v>21805202.400000002</v>
      </c>
      <c r="Q533" s="511">
        <f t="shared" si="338"/>
        <v>-21805202.400000002</v>
      </c>
      <c r="R533" s="321"/>
      <c r="S533" s="303">
        <f>+'MEMORIAS DE CANTIDADES'!L4456</f>
        <v>450.55599999999993</v>
      </c>
      <c r="T533" s="304">
        <f t="shared" si="335"/>
        <v>16656</v>
      </c>
      <c r="U533" s="501">
        <f t="shared" si="337"/>
        <v>7504460.7359999986</v>
      </c>
    </row>
    <row r="534" spans="2:22" ht="30" customHeight="1">
      <c r="B534" s="80"/>
      <c r="C534" s="143">
        <v>9.8000000000000007</v>
      </c>
      <c r="D534" s="97"/>
      <c r="E534" s="85"/>
      <c r="F534" s="97"/>
      <c r="G534" s="98" t="s">
        <v>173</v>
      </c>
      <c r="H534" s="97" t="s">
        <v>21</v>
      </c>
      <c r="I534" s="87">
        <v>5165.3019999999997</v>
      </c>
      <c r="J534" s="88">
        <v>16965</v>
      </c>
      <c r="K534" s="140">
        <f t="shared" si="329"/>
        <v>87629348.429999992</v>
      </c>
      <c r="L534" s="315"/>
      <c r="M534" s="508">
        <f t="shared" si="330"/>
        <v>0</v>
      </c>
      <c r="N534" s="307">
        <f t="shared" si="331"/>
        <v>1809.5119999999997</v>
      </c>
      <c r="O534" s="313">
        <f t="shared" si="332"/>
        <v>0</v>
      </c>
      <c r="P534" s="313">
        <f t="shared" si="333"/>
        <v>30698371.079999994</v>
      </c>
      <c r="Q534" s="511">
        <f t="shared" si="338"/>
        <v>-30698371.079999994</v>
      </c>
      <c r="R534" s="321"/>
      <c r="S534" s="303">
        <f>+'MEMORIAS DE CANTIDADES'!L4492</f>
        <v>3355.79</v>
      </c>
      <c r="T534" s="304">
        <f t="shared" si="335"/>
        <v>16965</v>
      </c>
      <c r="U534" s="501">
        <f t="shared" si="337"/>
        <v>56930977.350000001</v>
      </c>
    </row>
    <row r="535" spans="2:22" ht="30" customHeight="1">
      <c r="B535" s="80"/>
      <c r="C535" s="143">
        <v>9.9</v>
      </c>
      <c r="D535" s="97"/>
      <c r="E535" s="85"/>
      <c r="F535" s="97"/>
      <c r="G535" s="98" t="s">
        <v>174</v>
      </c>
      <c r="H535" s="97" t="s">
        <v>21</v>
      </c>
      <c r="I535" s="87">
        <v>1312.2600000000002</v>
      </c>
      <c r="J535" s="88">
        <v>70458</v>
      </c>
      <c r="K535" s="140">
        <f t="shared" si="329"/>
        <v>92459215.080000013</v>
      </c>
      <c r="L535" s="315"/>
      <c r="M535" s="508">
        <f t="shared" si="330"/>
        <v>0</v>
      </c>
      <c r="N535" s="307">
        <f t="shared" si="331"/>
        <v>553.14000000000021</v>
      </c>
      <c r="O535" s="313">
        <f t="shared" si="332"/>
        <v>0</v>
      </c>
      <c r="P535" s="313">
        <f t="shared" si="333"/>
        <v>38973138.120000012</v>
      </c>
      <c r="Q535" s="511">
        <f t="shared" si="338"/>
        <v>-38973138.120000012</v>
      </c>
      <c r="R535" s="321"/>
      <c r="S535" s="303">
        <f>+'MEMORIAS DE CANTIDADES'!L4536</f>
        <v>759.12</v>
      </c>
      <c r="T535" s="304">
        <f t="shared" si="335"/>
        <v>70458</v>
      </c>
      <c r="U535" s="501">
        <f t="shared" si="337"/>
        <v>53486076.960000001</v>
      </c>
    </row>
    <row r="536" spans="2:22" ht="30" customHeight="1">
      <c r="B536" s="80"/>
      <c r="C536" s="143" t="s">
        <v>846</v>
      </c>
      <c r="D536" s="97"/>
      <c r="E536" s="85"/>
      <c r="F536" s="97"/>
      <c r="G536" s="98" t="s">
        <v>175</v>
      </c>
      <c r="H536" s="97" t="s">
        <v>21</v>
      </c>
      <c r="I536" s="87">
        <v>5791.8879999999981</v>
      </c>
      <c r="J536" s="88">
        <v>26433</v>
      </c>
      <c r="K536" s="140">
        <f t="shared" si="329"/>
        <v>153096975.50399995</v>
      </c>
      <c r="L536" s="315"/>
      <c r="M536" s="508">
        <f t="shared" si="330"/>
        <v>0</v>
      </c>
      <c r="N536" s="307">
        <f t="shared" si="331"/>
        <v>2891.7899999999968</v>
      </c>
      <c r="O536" s="313">
        <f t="shared" si="332"/>
        <v>0</v>
      </c>
      <c r="P536" s="313">
        <f t="shared" si="333"/>
        <v>76438685.069999918</v>
      </c>
      <c r="Q536" s="511">
        <f t="shared" si="338"/>
        <v>-76438685.069999918</v>
      </c>
      <c r="R536" s="321"/>
      <c r="S536" s="303">
        <f>+'MEMORIAS DE CANTIDADES'!L4569</f>
        <v>2900.0980000000013</v>
      </c>
      <c r="T536" s="304">
        <f t="shared" si="335"/>
        <v>26433</v>
      </c>
      <c r="U536" s="501">
        <f t="shared" si="337"/>
        <v>76658290.43400003</v>
      </c>
    </row>
    <row r="537" spans="2:22" ht="30" customHeight="1">
      <c r="B537" s="80"/>
      <c r="C537" s="143">
        <v>9.11</v>
      </c>
      <c r="D537" s="97"/>
      <c r="E537" s="97"/>
      <c r="F537" s="97"/>
      <c r="G537" s="98" t="s">
        <v>176</v>
      </c>
      <c r="H537" s="102" t="s">
        <v>21</v>
      </c>
      <c r="I537" s="113">
        <v>60</v>
      </c>
      <c r="J537" s="114">
        <v>150524</v>
      </c>
      <c r="K537" s="253">
        <f t="shared" si="329"/>
        <v>9031440</v>
      </c>
      <c r="L537" s="315"/>
      <c r="M537" s="508">
        <f t="shared" si="330"/>
        <v>0</v>
      </c>
      <c r="N537" s="307">
        <f t="shared" si="331"/>
        <v>60</v>
      </c>
      <c r="O537" s="313">
        <f t="shared" si="332"/>
        <v>0</v>
      </c>
      <c r="P537" s="313">
        <f t="shared" si="333"/>
        <v>9031440</v>
      </c>
      <c r="Q537" s="511">
        <f t="shared" si="338"/>
        <v>-9031440</v>
      </c>
      <c r="R537" s="321"/>
      <c r="S537" s="303">
        <v>0</v>
      </c>
      <c r="T537" s="304">
        <f t="shared" si="335"/>
        <v>150524</v>
      </c>
      <c r="U537" s="501">
        <f t="shared" si="337"/>
        <v>0</v>
      </c>
    </row>
    <row r="538" spans="2:22" ht="30" customHeight="1">
      <c r="B538" s="80"/>
      <c r="C538" s="143">
        <v>9.1199999999999992</v>
      </c>
      <c r="D538" s="97"/>
      <c r="E538" s="97"/>
      <c r="F538" s="97"/>
      <c r="G538" s="98" t="s">
        <v>177</v>
      </c>
      <c r="H538" s="102" t="s">
        <v>65</v>
      </c>
      <c r="I538" s="87">
        <v>682.20999999999992</v>
      </c>
      <c r="J538" s="88">
        <v>46533</v>
      </c>
      <c r="K538" s="140">
        <f t="shared" si="329"/>
        <v>31745277.929999996</v>
      </c>
      <c r="L538" s="315"/>
      <c r="M538" s="508">
        <f t="shared" si="330"/>
        <v>0</v>
      </c>
      <c r="N538" s="307">
        <f t="shared" si="331"/>
        <v>312.62999999999994</v>
      </c>
      <c r="O538" s="313">
        <f t="shared" si="332"/>
        <v>0</v>
      </c>
      <c r="P538" s="313">
        <f t="shared" si="333"/>
        <v>14547611.789999997</v>
      </c>
      <c r="Q538" s="511">
        <f t="shared" si="338"/>
        <v>-14547611.789999997</v>
      </c>
      <c r="R538" s="321"/>
      <c r="S538" s="303">
        <f>+'MEMORIAS DE CANTIDADES'!L4639</f>
        <v>369.58</v>
      </c>
      <c r="T538" s="304">
        <f t="shared" si="335"/>
        <v>46533</v>
      </c>
      <c r="U538" s="501">
        <f t="shared" si="337"/>
        <v>17197666.140000001</v>
      </c>
    </row>
    <row r="539" spans="2:22" ht="30" customHeight="1" thickBot="1">
      <c r="B539" s="80"/>
      <c r="C539" s="103" t="s">
        <v>8</v>
      </c>
      <c r="D539" s="592"/>
      <c r="E539" s="592"/>
      <c r="F539" s="592"/>
      <c r="G539" s="593"/>
      <c r="H539" s="592"/>
      <c r="I539" s="507"/>
      <c r="J539" s="104"/>
      <c r="K539" s="142">
        <f>SUM(K527:K538)</f>
        <v>871568159.67999983</v>
      </c>
      <c r="L539" s="325"/>
      <c r="M539" s="941"/>
      <c r="N539" s="941"/>
      <c r="O539" s="308">
        <f>SUM(O527:O538)</f>
        <v>84272765.040000021</v>
      </c>
      <c r="P539" s="328">
        <f>SUM(P527:P538)</f>
        <v>302022404.55999988</v>
      </c>
      <c r="Q539" s="328">
        <f>SUM(Q527:Q538)</f>
        <v>-217749639.51999989</v>
      </c>
      <c r="R539" s="327"/>
      <c r="S539" s="309"/>
      <c r="T539" s="309"/>
      <c r="U539" s="506">
        <f>SUM(U527:U538)</f>
        <v>653818520.16000009</v>
      </c>
      <c r="V539" s="112"/>
    </row>
    <row r="540" spans="2:22" ht="30" customHeight="1" thickBot="1">
      <c r="B540" s="80"/>
      <c r="C540" s="886" t="s">
        <v>178</v>
      </c>
      <c r="D540" s="887"/>
      <c r="E540" s="887"/>
      <c r="F540" s="887"/>
      <c r="G540" s="887"/>
      <c r="H540" s="887"/>
      <c r="I540" s="887"/>
      <c r="J540" s="887"/>
      <c r="K540" s="887"/>
      <c r="L540" s="889"/>
      <c r="M540" s="887"/>
      <c r="N540" s="887"/>
      <c r="O540" s="887"/>
      <c r="P540" s="887"/>
      <c r="Q540" s="887"/>
      <c r="R540" s="589"/>
      <c r="S540" s="589"/>
      <c r="T540" s="589"/>
      <c r="U540" s="500"/>
    </row>
    <row r="541" spans="2:22" ht="30" customHeight="1">
      <c r="B541" s="80"/>
      <c r="C541" s="106">
        <v>10.1</v>
      </c>
      <c r="D541" s="251"/>
      <c r="E541" s="251"/>
      <c r="F541" s="251"/>
      <c r="G541" s="252" t="s">
        <v>179</v>
      </c>
      <c r="H541" s="251" t="s">
        <v>21</v>
      </c>
      <c r="I541" s="249">
        <v>42.989999999999995</v>
      </c>
      <c r="J541" s="246">
        <v>539844</v>
      </c>
      <c r="K541" s="140">
        <f t="shared" ref="K541:K549" si="339">I541*J541</f>
        <v>23207893.559999999</v>
      </c>
      <c r="L541" s="314"/>
      <c r="M541" s="508">
        <f t="shared" ref="M541:M549" si="340">+IF(I541&lt;S541,S541-I541,0)</f>
        <v>0</v>
      </c>
      <c r="N541" s="307">
        <f t="shared" ref="N541:N549" si="341">+IF(I541&gt;S541,-S541+I541,0)</f>
        <v>2.1200000000000045</v>
      </c>
      <c r="O541" s="313">
        <f t="shared" ref="O541:O549" si="342">+M541*J541</f>
        <v>0</v>
      </c>
      <c r="P541" s="313">
        <f t="shared" ref="P541:P549" si="343">+N541*J541</f>
        <v>1144469.2800000024</v>
      </c>
      <c r="Q541" s="313">
        <f t="shared" ref="Q541" si="344">+O541-P541</f>
        <v>-1144469.2800000024</v>
      </c>
      <c r="R541" s="244"/>
      <c r="S541" s="303">
        <f>+'MEMORIAS DE CANTIDADES'!L4674</f>
        <v>40.86999999999999</v>
      </c>
      <c r="T541" s="304">
        <f t="shared" ref="T541:T549" si="345">+J541</f>
        <v>539844</v>
      </c>
      <c r="U541" s="501">
        <f t="shared" ref="U541" si="346">+S541*T541</f>
        <v>22063424.279999994</v>
      </c>
    </row>
    <row r="542" spans="2:22" ht="30" customHeight="1">
      <c r="B542" s="80"/>
      <c r="C542" s="106">
        <v>10.199999999999999</v>
      </c>
      <c r="D542" s="99"/>
      <c r="E542" s="99"/>
      <c r="F542" s="99"/>
      <c r="G542" s="98" t="s">
        <v>180</v>
      </c>
      <c r="H542" s="97" t="s">
        <v>29</v>
      </c>
      <c r="I542" s="87">
        <v>36</v>
      </c>
      <c r="J542" s="88">
        <v>1450691</v>
      </c>
      <c r="K542" s="140">
        <f t="shared" si="339"/>
        <v>52224876</v>
      </c>
      <c r="L542" s="315"/>
      <c r="M542" s="508">
        <f t="shared" si="340"/>
        <v>0</v>
      </c>
      <c r="N542" s="307">
        <f t="shared" si="341"/>
        <v>12</v>
      </c>
      <c r="O542" s="313">
        <f t="shared" si="342"/>
        <v>0</v>
      </c>
      <c r="P542" s="313">
        <f t="shared" si="343"/>
        <v>17408292</v>
      </c>
      <c r="Q542" s="313">
        <f t="shared" ref="Q542:Q549" si="347">+O542-P542</f>
        <v>-17408292</v>
      </c>
      <c r="R542" s="244"/>
      <c r="S542" s="303">
        <f>+'MEMORIAS DE CANTIDADES'!L4696</f>
        <v>24</v>
      </c>
      <c r="T542" s="304">
        <f t="shared" si="345"/>
        <v>1450691</v>
      </c>
      <c r="U542" s="501">
        <f t="shared" ref="U542:U549" si="348">+S542*T542</f>
        <v>34816584</v>
      </c>
    </row>
    <row r="543" spans="2:22" ht="30" customHeight="1">
      <c r="B543" s="80"/>
      <c r="C543" s="106">
        <v>10.3</v>
      </c>
      <c r="D543" s="97"/>
      <c r="E543" s="97"/>
      <c r="F543" s="97"/>
      <c r="G543" s="98" t="s">
        <v>181</v>
      </c>
      <c r="H543" s="97" t="s">
        <v>29</v>
      </c>
      <c r="I543" s="87">
        <v>2</v>
      </c>
      <c r="J543" s="88">
        <v>1418517</v>
      </c>
      <c r="K543" s="140">
        <f t="shared" si="339"/>
        <v>2837034</v>
      </c>
      <c r="L543" s="315"/>
      <c r="M543" s="508">
        <f t="shared" si="340"/>
        <v>2</v>
      </c>
      <c r="N543" s="307">
        <f t="shared" si="341"/>
        <v>0</v>
      </c>
      <c r="O543" s="313">
        <f t="shared" si="342"/>
        <v>2837034</v>
      </c>
      <c r="P543" s="313">
        <f t="shared" si="343"/>
        <v>0</v>
      </c>
      <c r="Q543" s="313">
        <f t="shared" si="347"/>
        <v>2837034</v>
      </c>
      <c r="R543" s="244"/>
      <c r="S543" s="303">
        <f>+'MEMORIAS DE CANTIDADES'!L4708</f>
        <v>4</v>
      </c>
      <c r="T543" s="304">
        <f t="shared" si="345"/>
        <v>1418517</v>
      </c>
      <c r="U543" s="501">
        <f t="shared" si="348"/>
        <v>5674068</v>
      </c>
      <c r="V543" s="418"/>
    </row>
    <row r="544" spans="2:22" ht="30" customHeight="1">
      <c r="B544" s="80"/>
      <c r="C544" s="106">
        <v>10.4</v>
      </c>
      <c r="D544" s="95"/>
      <c r="E544" s="95"/>
      <c r="F544" s="95"/>
      <c r="G544" s="100" t="s">
        <v>182</v>
      </c>
      <c r="H544" s="95" t="s">
        <v>29</v>
      </c>
      <c r="I544" s="87">
        <v>3</v>
      </c>
      <c r="J544" s="88">
        <v>7055952</v>
      </c>
      <c r="K544" s="140">
        <f t="shared" si="339"/>
        <v>21167856</v>
      </c>
      <c r="L544" s="315"/>
      <c r="M544" s="508">
        <f t="shared" si="340"/>
        <v>0</v>
      </c>
      <c r="N544" s="307">
        <f t="shared" si="341"/>
        <v>0</v>
      </c>
      <c r="O544" s="313">
        <f t="shared" si="342"/>
        <v>0</v>
      </c>
      <c r="P544" s="313">
        <f t="shared" si="343"/>
        <v>0</v>
      </c>
      <c r="Q544" s="313">
        <f t="shared" si="347"/>
        <v>0</v>
      </c>
      <c r="R544" s="244"/>
      <c r="S544" s="303">
        <f>+'MEMORIAS DE CANTIDADES'!L4720</f>
        <v>3</v>
      </c>
      <c r="T544" s="304">
        <f t="shared" si="345"/>
        <v>7055952</v>
      </c>
      <c r="U544" s="501">
        <f t="shared" si="348"/>
        <v>21167856</v>
      </c>
    </row>
    <row r="545" spans="2:22" ht="30" customHeight="1">
      <c r="B545" s="80"/>
      <c r="C545" s="106">
        <v>10.5</v>
      </c>
      <c r="D545" s="97"/>
      <c r="E545" s="97"/>
      <c r="F545" s="97"/>
      <c r="G545" s="98" t="s">
        <v>183</v>
      </c>
      <c r="H545" s="97" t="s">
        <v>29</v>
      </c>
      <c r="I545" s="87">
        <v>3</v>
      </c>
      <c r="J545" s="101">
        <v>2996349</v>
      </c>
      <c r="K545" s="140">
        <f t="shared" si="339"/>
        <v>8989047</v>
      </c>
      <c r="L545" s="315"/>
      <c r="M545" s="508">
        <f t="shared" si="340"/>
        <v>0</v>
      </c>
      <c r="N545" s="307">
        <f t="shared" si="341"/>
        <v>0</v>
      </c>
      <c r="O545" s="313">
        <f t="shared" si="342"/>
        <v>0</v>
      </c>
      <c r="P545" s="313">
        <f t="shared" si="343"/>
        <v>0</v>
      </c>
      <c r="Q545" s="313">
        <f t="shared" si="347"/>
        <v>0</v>
      </c>
      <c r="R545" s="244"/>
      <c r="S545" s="303">
        <f>+'MEMORIAS DE CANTIDADES'!L4732</f>
        <v>3</v>
      </c>
      <c r="T545" s="304">
        <f t="shared" si="345"/>
        <v>2996349</v>
      </c>
      <c r="U545" s="501">
        <f t="shared" si="348"/>
        <v>8989047</v>
      </c>
    </row>
    <row r="546" spans="2:22" ht="30" customHeight="1">
      <c r="B546" s="80"/>
      <c r="C546" s="106">
        <v>10.6</v>
      </c>
      <c r="D546" s="95"/>
      <c r="E546" s="95"/>
      <c r="F546" s="95"/>
      <c r="G546" s="100" t="s">
        <v>184</v>
      </c>
      <c r="H546" s="95" t="s">
        <v>65</v>
      </c>
      <c r="I546" s="87">
        <v>199.6</v>
      </c>
      <c r="J546" s="101">
        <v>409034</v>
      </c>
      <c r="K546" s="140">
        <f t="shared" si="339"/>
        <v>81643186.399999991</v>
      </c>
      <c r="L546" s="315"/>
      <c r="M546" s="508">
        <f t="shared" si="340"/>
        <v>0</v>
      </c>
      <c r="N546" s="307">
        <f t="shared" si="341"/>
        <v>140.80000000000001</v>
      </c>
      <c r="O546" s="313">
        <f t="shared" si="342"/>
        <v>0</v>
      </c>
      <c r="P546" s="313">
        <f t="shared" si="343"/>
        <v>57591987.200000003</v>
      </c>
      <c r="Q546" s="313">
        <f t="shared" si="347"/>
        <v>-57591987.200000003</v>
      </c>
      <c r="R546" s="244"/>
      <c r="S546" s="303">
        <f>+'MEMORIAS DE CANTIDADES'!L4744</f>
        <v>58.8</v>
      </c>
      <c r="T546" s="304">
        <f t="shared" si="345"/>
        <v>409034</v>
      </c>
      <c r="U546" s="501">
        <f t="shared" si="348"/>
        <v>24051199.199999999</v>
      </c>
    </row>
    <row r="547" spans="2:22" ht="30" customHeight="1">
      <c r="B547" s="80"/>
      <c r="C547" s="106">
        <v>10.7</v>
      </c>
      <c r="D547" s="97"/>
      <c r="E547" s="85"/>
      <c r="F547" s="97"/>
      <c r="G547" s="98" t="s">
        <v>346</v>
      </c>
      <c r="H547" s="97" t="s">
        <v>21</v>
      </c>
      <c r="I547" s="113">
        <v>124.83</v>
      </c>
      <c r="J547" s="114">
        <v>954494</v>
      </c>
      <c r="K547" s="253">
        <f t="shared" si="339"/>
        <v>119149486.02</v>
      </c>
      <c r="L547" s="315"/>
      <c r="M547" s="508">
        <f t="shared" si="340"/>
        <v>0</v>
      </c>
      <c r="N547" s="307">
        <f t="shared" si="341"/>
        <v>124.83</v>
      </c>
      <c r="O547" s="313">
        <f t="shared" si="342"/>
        <v>0</v>
      </c>
      <c r="P547" s="313">
        <f t="shared" si="343"/>
        <v>119149486.02</v>
      </c>
      <c r="Q547" s="313">
        <f t="shared" si="347"/>
        <v>-119149486.02</v>
      </c>
      <c r="R547" s="244"/>
      <c r="S547" s="303">
        <v>0</v>
      </c>
      <c r="T547" s="304">
        <f t="shared" si="345"/>
        <v>954494</v>
      </c>
      <c r="U547" s="501">
        <f t="shared" si="348"/>
        <v>0</v>
      </c>
      <c r="V547" s="112"/>
    </row>
    <row r="548" spans="2:22" ht="30" customHeight="1">
      <c r="B548" s="80"/>
      <c r="C548" s="106">
        <v>10.8</v>
      </c>
      <c r="D548" s="97"/>
      <c r="E548" s="85"/>
      <c r="F548" s="97"/>
      <c r="G548" s="98" t="s">
        <v>347</v>
      </c>
      <c r="H548" s="97" t="s">
        <v>29</v>
      </c>
      <c r="I548" s="113">
        <v>69</v>
      </c>
      <c r="J548" s="114">
        <v>1317551</v>
      </c>
      <c r="K548" s="253">
        <f t="shared" si="339"/>
        <v>90911019</v>
      </c>
      <c r="L548" s="315"/>
      <c r="M548" s="508">
        <f t="shared" si="340"/>
        <v>0</v>
      </c>
      <c r="N548" s="307">
        <f t="shared" si="341"/>
        <v>69</v>
      </c>
      <c r="O548" s="313">
        <f t="shared" si="342"/>
        <v>0</v>
      </c>
      <c r="P548" s="313">
        <f t="shared" si="343"/>
        <v>90911019</v>
      </c>
      <c r="Q548" s="313">
        <f t="shared" si="347"/>
        <v>-90911019</v>
      </c>
      <c r="R548" s="244"/>
      <c r="S548" s="303">
        <v>0</v>
      </c>
      <c r="T548" s="304">
        <f t="shared" si="345"/>
        <v>1317551</v>
      </c>
      <c r="U548" s="501">
        <f t="shared" si="348"/>
        <v>0</v>
      </c>
    </row>
    <row r="549" spans="2:22" ht="30" customHeight="1">
      <c r="B549" s="80"/>
      <c r="C549" s="106">
        <v>10.9</v>
      </c>
      <c r="D549" s="97"/>
      <c r="E549" s="85"/>
      <c r="F549" s="97"/>
      <c r="G549" s="98" t="s">
        <v>186</v>
      </c>
      <c r="H549" s="97" t="s">
        <v>29</v>
      </c>
      <c r="I549" s="113">
        <v>50</v>
      </c>
      <c r="J549" s="114">
        <v>684731</v>
      </c>
      <c r="K549" s="253">
        <f t="shared" si="339"/>
        <v>34236550</v>
      </c>
      <c r="L549" s="315"/>
      <c r="M549" s="508">
        <f t="shared" si="340"/>
        <v>0</v>
      </c>
      <c r="N549" s="307">
        <f t="shared" si="341"/>
        <v>50</v>
      </c>
      <c r="O549" s="313">
        <f t="shared" si="342"/>
        <v>0</v>
      </c>
      <c r="P549" s="313">
        <f t="shared" si="343"/>
        <v>34236550</v>
      </c>
      <c r="Q549" s="313">
        <f t="shared" si="347"/>
        <v>-34236550</v>
      </c>
      <c r="R549" s="244"/>
      <c r="S549" s="303">
        <v>0</v>
      </c>
      <c r="T549" s="304">
        <f t="shared" si="345"/>
        <v>684731</v>
      </c>
      <c r="U549" s="501">
        <f t="shared" si="348"/>
        <v>0</v>
      </c>
    </row>
    <row r="550" spans="2:22" ht="30" customHeight="1" thickBot="1">
      <c r="B550" s="80"/>
      <c r="C550" s="103" t="s">
        <v>8</v>
      </c>
      <c r="D550" s="592"/>
      <c r="E550" s="592"/>
      <c r="F550" s="592"/>
      <c r="G550" s="593"/>
      <c r="H550" s="592"/>
      <c r="I550" s="507"/>
      <c r="J550" s="104"/>
      <c r="K550" s="142">
        <f>SUM(K541:K549)</f>
        <v>434366947.97999996</v>
      </c>
      <c r="L550" s="325"/>
      <c r="M550" s="319"/>
      <c r="N550" s="319"/>
      <c r="O550" s="308">
        <f t="shared" ref="O550:P550" si="349">SUM(O541:O549)</f>
        <v>2837034</v>
      </c>
      <c r="P550" s="308">
        <f t="shared" si="349"/>
        <v>320441803.5</v>
      </c>
      <c r="Q550" s="308">
        <f>SUM(Q541:Q549)</f>
        <v>-317604769.5</v>
      </c>
      <c r="R550" s="244"/>
      <c r="S550" s="309"/>
      <c r="T550" s="309"/>
      <c r="U550" s="506">
        <f>SUM(U541:U549)</f>
        <v>116762178.48</v>
      </c>
      <c r="V550" s="112"/>
    </row>
    <row r="551" spans="2:22" ht="30" customHeight="1" thickBot="1">
      <c r="B551" s="80"/>
      <c r="C551" s="886" t="s">
        <v>187</v>
      </c>
      <c r="D551" s="887"/>
      <c r="E551" s="887"/>
      <c r="F551" s="887"/>
      <c r="G551" s="887"/>
      <c r="H551" s="887"/>
      <c r="I551" s="887"/>
      <c r="J551" s="887"/>
      <c r="K551" s="887"/>
      <c r="L551" s="889"/>
      <c r="M551" s="887"/>
      <c r="N551" s="887"/>
      <c r="O551" s="920"/>
      <c r="P551" s="920"/>
      <c r="Q551" s="920"/>
      <c r="R551" s="589"/>
      <c r="S551" s="589"/>
      <c r="T551" s="589"/>
      <c r="U551" s="500"/>
    </row>
    <row r="552" spans="2:22" ht="30" customHeight="1">
      <c r="B552" s="80"/>
      <c r="C552" s="84">
        <v>11.1</v>
      </c>
      <c r="D552" s="251"/>
      <c r="E552" s="251"/>
      <c r="F552" s="251"/>
      <c r="G552" s="252" t="s">
        <v>188</v>
      </c>
      <c r="H552" s="251" t="s">
        <v>29</v>
      </c>
      <c r="I552" s="249">
        <v>71</v>
      </c>
      <c r="J552" s="246">
        <v>577327</v>
      </c>
      <c r="K552" s="140">
        <f t="shared" ref="K552:K563" si="350">I552*J552</f>
        <v>40990217</v>
      </c>
      <c r="L552" s="314"/>
      <c r="M552" s="508">
        <f t="shared" ref="M552:M563" si="351">+IF(I552&lt;S552,S552-I552,0)</f>
        <v>0</v>
      </c>
      <c r="N552" s="307">
        <f t="shared" ref="N552:N563" si="352">+IF(I552&gt;S552,-S552+I552,0)</f>
        <v>12</v>
      </c>
      <c r="O552" s="313">
        <f t="shared" ref="O552:O563" si="353">+M552*J552</f>
        <v>0</v>
      </c>
      <c r="P552" s="313">
        <f t="shared" ref="P552:P563" si="354">+N552*J552</f>
        <v>6927924</v>
      </c>
      <c r="Q552" s="313">
        <f t="shared" ref="Q552" si="355">+O552-P552</f>
        <v>-6927924</v>
      </c>
      <c r="R552" s="244"/>
      <c r="S552" s="303">
        <v>59</v>
      </c>
      <c r="T552" s="304">
        <f t="shared" ref="T552:T563" si="356">+J552</f>
        <v>577327</v>
      </c>
      <c r="U552" s="501">
        <f t="shared" ref="U552" si="357">+S552*T552</f>
        <v>34062293</v>
      </c>
    </row>
    <row r="553" spans="2:22" ht="30" customHeight="1">
      <c r="B553" s="80"/>
      <c r="C553" s="84">
        <v>11.2</v>
      </c>
      <c r="D553" s="99"/>
      <c r="E553" s="99"/>
      <c r="F553" s="99"/>
      <c r="G553" s="98" t="s">
        <v>189</v>
      </c>
      <c r="H553" s="97" t="s">
        <v>29</v>
      </c>
      <c r="I553" s="87">
        <v>58</v>
      </c>
      <c r="J553" s="88">
        <v>675612</v>
      </c>
      <c r="K553" s="140">
        <f t="shared" si="350"/>
        <v>39185496</v>
      </c>
      <c r="L553" s="315"/>
      <c r="M553" s="508">
        <f t="shared" si="351"/>
        <v>0</v>
      </c>
      <c r="N553" s="307">
        <f t="shared" si="352"/>
        <v>26</v>
      </c>
      <c r="O553" s="313">
        <f t="shared" si="353"/>
        <v>0</v>
      </c>
      <c r="P553" s="313">
        <f t="shared" si="354"/>
        <v>17565912</v>
      </c>
      <c r="Q553" s="313">
        <f t="shared" ref="Q553:Q563" si="358">+O553-P553</f>
        <v>-17565912</v>
      </c>
      <c r="R553" s="244"/>
      <c r="S553" s="303">
        <f>+'MEMORIAS DE CANTIDADES'!L4810</f>
        <v>32</v>
      </c>
      <c r="T553" s="304">
        <f t="shared" si="356"/>
        <v>675612</v>
      </c>
      <c r="U553" s="501">
        <f t="shared" ref="U553:U563" si="359">+S553*T553</f>
        <v>21619584</v>
      </c>
    </row>
    <row r="554" spans="2:22" ht="30" customHeight="1">
      <c r="B554" s="80"/>
      <c r="C554" s="84">
        <v>11.3</v>
      </c>
      <c r="D554" s="97"/>
      <c r="E554" s="97"/>
      <c r="F554" s="97"/>
      <c r="G554" s="98" t="s">
        <v>190</v>
      </c>
      <c r="H554" s="97" t="s">
        <v>29</v>
      </c>
      <c r="I554" s="87">
        <v>63</v>
      </c>
      <c r="J554" s="88">
        <v>619289</v>
      </c>
      <c r="K554" s="140">
        <f t="shared" si="350"/>
        <v>39015207</v>
      </c>
      <c r="L554" s="315"/>
      <c r="M554" s="508">
        <f t="shared" si="351"/>
        <v>0</v>
      </c>
      <c r="N554" s="307">
        <f t="shared" si="352"/>
        <v>14</v>
      </c>
      <c r="O554" s="313">
        <f t="shared" si="353"/>
        <v>0</v>
      </c>
      <c r="P554" s="313">
        <f t="shared" si="354"/>
        <v>8670046</v>
      </c>
      <c r="Q554" s="313">
        <f t="shared" si="358"/>
        <v>-8670046</v>
      </c>
      <c r="R554" s="244"/>
      <c r="S554" s="303">
        <v>49</v>
      </c>
      <c r="T554" s="304">
        <f t="shared" si="356"/>
        <v>619289</v>
      </c>
      <c r="U554" s="501">
        <f t="shared" si="359"/>
        <v>30345161</v>
      </c>
    </row>
    <row r="555" spans="2:22" ht="30" customHeight="1">
      <c r="B555" s="80"/>
      <c r="C555" s="84">
        <v>11.4</v>
      </c>
      <c r="D555" s="95"/>
      <c r="E555" s="95"/>
      <c r="F555" s="95"/>
      <c r="G555" s="100" t="s">
        <v>191</v>
      </c>
      <c r="H555" s="95" t="s">
        <v>29</v>
      </c>
      <c r="I555" s="87">
        <v>6</v>
      </c>
      <c r="J555" s="88">
        <v>1188456</v>
      </c>
      <c r="K555" s="140">
        <f t="shared" si="350"/>
        <v>7130736</v>
      </c>
      <c r="L555" s="315"/>
      <c r="M555" s="508">
        <f t="shared" si="351"/>
        <v>0</v>
      </c>
      <c r="N555" s="307">
        <f t="shared" si="352"/>
        <v>2</v>
      </c>
      <c r="O555" s="313">
        <f t="shared" si="353"/>
        <v>0</v>
      </c>
      <c r="P555" s="313">
        <f t="shared" si="354"/>
        <v>2376912</v>
      </c>
      <c r="Q555" s="313">
        <f t="shared" si="358"/>
        <v>-2376912</v>
      </c>
      <c r="R555" s="244"/>
      <c r="S555" s="303">
        <f>+'MEMORIAS DE CANTIDADES'!L4834</f>
        <v>4</v>
      </c>
      <c r="T555" s="304">
        <f t="shared" si="356"/>
        <v>1188456</v>
      </c>
      <c r="U555" s="501">
        <f t="shared" si="359"/>
        <v>4753824</v>
      </c>
    </row>
    <row r="556" spans="2:22" ht="30" customHeight="1">
      <c r="B556" s="80"/>
      <c r="C556" s="84">
        <v>11.5</v>
      </c>
      <c r="D556" s="97"/>
      <c r="E556" s="97"/>
      <c r="F556" s="97"/>
      <c r="G556" s="98" t="s">
        <v>192</v>
      </c>
      <c r="H556" s="97" t="s">
        <v>29</v>
      </c>
      <c r="I556" s="87">
        <v>12</v>
      </c>
      <c r="J556" s="101">
        <v>328849</v>
      </c>
      <c r="K556" s="140">
        <f t="shared" si="350"/>
        <v>3946188</v>
      </c>
      <c r="L556" s="315"/>
      <c r="M556" s="508">
        <f t="shared" si="351"/>
        <v>6</v>
      </c>
      <c r="N556" s="307">
        <f t="shared" si="352"/>
        <v>0</v>
      </c>
      <c r="O556" s="313">
        <f t="shared" si="353"/>
        <v>1973094</v>
      </c>
      <c r="P556" s="313">
        <f t="shared" si="354"/>
        <v>0</v>
      </c>
      <c r="Q556" s="313">
        <f t="shared" si="358"/>
        <v>1973094</v>
      </c>
      <c r="R556" s="244"/>
      <c r="S556" s="303">
        <f>+'MEMORIAS DE CANTIDADES'!L4846</f>
        <v>18</v>
      </c>
      <c r="T556" s="304">
        <f t="shared" si="356"/>
        <v>328849</v>
      </c>
      <c r="U556" s="501">
        <f t="shared" si="359"/>
        <v>5919282</v>
      </c>
    </row>
    <row r="557" spans="2:22" ht="30" customHeight="1">
      <c r="B557" s="80"/>
      <c r="C557" s="84">
        <v>11.6</v>
      </c>
      <c r="D557" s="95"/>
      <c r="E557" s="95"/>
      <c r="F557" s="95"/>
      <c r="G557" s="100" t="s">
        <v>193</v>
      </c>
      <c r="H557" s="95" t="s">
        <v>29</v>
      </c>
      <c r="I557" s="87">
        <v>19</v>
      </c>
      <c r="J557" s="101">
        <v>260221</v>
      </c>
      <c r="K557" s="140">
        <f t="shared" si="350"/>
        <v>4944199</v>
      </c>
      <c r="L557" s="315"/>
      <c r="M557" s="508">
        <f t="shared" si="351"/>
        <v>1</v>
      </c>
      <c r="N557" s="307">
        <f t="shared" si="352"/>
        <v>0</v>
      </c>
      <c r="O557" s="313">
        <f t="shared" si="353"/>
        <v>260221</v>
      </c>
      <c r="P557" s="313">
        <f t="shared" si="354"/>
        <v>0</v>
      </c>
      <c r="Q557" s="313">
        <f t="shared" si="358"/>
        <v>260221</v>
      </c>
      <c r="R557" s="244"/>
      <c r="S557" s="303">
        <f>+'MEMORIAS DE CANTIDADES'!L4858</f>
        <v>20</v>
      </c>
      <c r="T557" s="304">
        <f t="shared" si="356"/>
        <v>260221</v>
      </c>
      <c r="U557" s="501">
        <f t="shared" si="359"/>
        <v>5204420</v>
      </c>
    </row>
    <row r="558" spans="2:22" ht="30" customHeight="1">
      <c r="B558" s="80"/>
      <c r="C558" s="84">
        <v>11.7</v>
      </c>
      <c r="D558" s="97"/>
      <c r="E558" s="85"/>
      <c r="F558" s="97"/>
      <c r="G558" s="98" t="s">
        <v>194</v>
      </c>
      <c r="H558" s="97" t="s">
        <v>29</v>
      </c>
      <c r="I558" s="87">
        <v>69</v>
      </c>
      <c r="J558" s="88">
        <v>175662</v>
      </c>
      <c r="K558" s="140">
        <f t="shared" si="350"/>
        <v>12120678</v>
      </c>
      <c r="L558" s="315"/>
      <c r="M558" s="508">
        <f t="shared" si="351"/>
        <v>0</v>
      </c>
      <c r="N558" s="307">
        <f t="shared" si="352"/>
        <v>12</v>
      </c>
      <c r="O558" s="313">
        <f t="shared" si="353"/>
        <v>0</v>
      </c>
      <c r="P558" s="313">
        <f t="shared" si="354"/>
        <v>2107944</v>
      </c>
      <c r="Q558" s="313">
        <f t="shared" si="358"/>
        <v>-2107944</v>
      </c>
      <c r="R558" s="244"/>
      <c r="S558" s="303">
        <f>+'MEMORIAS DE CANTIDADES'!L4871</f>
        <v>57</v>
      </c>
      <c r="T558" s="304">
        <f t="shared" si="356"/>
        <v>175662</v>
      </c>
      <c r="U558" s="501">
        <f t="shared" si="359"/>
        <v>10012734</v>
      </c>
    </row>
    <row r="559" spans="2:22" ht="30" customHeight="1">
      <c r="B559" s="80"/>
      <c r="C559" s="84">
        <v>11.8</v>
      </c>
      <c r="D559" s="97"/>
      <c r="E559" s="85"/>
      <c r="F559" s="97"/>
      <c r="G559" s="98" t="s">
        <v>195</v>
      </c>
      <c r="H559" s="97" t="s">
        <v>29</v>
      </c>
      <c r="I559" s="87">
        <v>22</v>
      </c>
      <c r="J559" s="88">
        <v>331412</v>
      </c>
      <c r="K559" s="140">
        <f t="shared" si="350"/>
        <v>7291064</v>
      </c>
      <c r="L559" s="315"/>
      <c r="M559" s="508">
        <f t="shared" si="351"/>
        <v>0</v>
      </c>
      <c r="N559" s="307">
        <f t="shared" si="352"/>
        <v>6</v>
      </c>
      <c r="O559" s="313">
        <f t="shared" si="353"/>
        <v>0</v>
      </c>
      <c r="P559" s="313">
        <f t="shared" si="354"/>
        <v>1988472</v>
      </c>
      <c r="Q559" s="313">
        <f t="shared" si="358"/>
        <v>-1988472</v>
      </c>
      <c r="R559" s="244"/>
      <c r="S559" s="303">
        <f>+'MEMORIAS DE CANTIDADES'!L4885</f>
        <v>16</v>
      </c>
      <c r="T559" s="304">
        <f t="shared" si="356"/>
        <v>331412</v>
      </c>
      <c r="U559" s="501">
        <f t="shared" si="359"/>
        <v>5302592</v>
      </c>
    </row>
    <row r="560" spans="2:22" ht="30" customHeight="1">
      <c r="B560" s="80"/>
      <c r="C560" s="84">
        <v>11.9</v>
      </c>
      <c r="D560" s="97"/>
      <c r="E560" s="85"/>
      <c r="F560" s="97"/>
      <c r="G560" s="98" t="s">
        <v>196</v>
      </c>
      <c r="H560" s="97" t="s">
        <v>29</v>
      </c>
      <c r="I560" s="87">
        <v>22</v>
      </c>
      <c r="J560" s="88">
        <v>225942</v>
      </c>
      <c r="K560" s="140">
        <f t="shared" si="350"/>
        <v>4970724</v>
      </c>
      <c r="L560" s="315"/>
      <c r="M560" s="508">
        <f t="shared" si="351"/>
        <v>0</v>
      </c>
      <c r="N560" s="307">
        <f t="shared" si="352"/>
        <v>6</v>
      </c>
      <c r="O560" s="313">
        <f t="shared" si="353"/>
        <v>0</v>
      </c>
      <c r="P560" s="313">
        <f t="shared" si="354"/>
        <v>1355652</v>
      </c>
      <c r="Q560" s="313">
        <f t="shared" si="358"/>
        <v>-1355652</v>
      </c>
      <c r="R560" s="244"/>
      <c r="S560" s="303">
        <f>+'MEMORIAS DE CANTIDADES'!L4897</f>
        <v>16</v>
      </c>
      <c r="T560" s="304">
        <f t="shared" si="356"/>
        <v>225942</v>
      </c>
      <c r="U560" s="501">
        <f t="shared" si="359"/>
        <v>3615072</v>
      </c>
    </row>
    <row r="561" spans="2:23" ht="30" customHeight="1">
      <c r="B561" s="80"/>
      <c r="C561" s="143" t="s">
        <v>847</v>
      </c>
      <c r="D561" s="97"/>
      <c r="E561" s="85"/>
      <c r="F561" s="97"/>
      <c r="G561" s="98" t="s">
        <v>197</v>
      </c>
      <c r="H561" s="97" t="s">
        <v>29</v>
      </c>
      <c r="I561" s="87">
        <v>69</v>
      </c>
      <c r="J561" s="88">
        <v>75351</v>
      </c>
      <c r="K561" s="140">
        <f t="shared" si="350"/>
        <v>5199219</v>
      </c>
      <c r="L561" s="315"/>
      <c r="M561" s="508">
        <f t="shared" si="351"/>
        <v>0</v>
      </c>
      <c r="N561" s="307">
        <f t="shared" si="352"/>
        <v>2</v>
      </c>
      <c r="O561" s="313">
        <f t="shared" si="353"/>
        <v>0</v>
      </c>
      <c r="P561" s="313">
        <f t="shared" si="354"/>
        <v>150702</v>
      </c>
      <c r="Q561" s="313">
        <f t="shared" si="358"/>
        <v>-150702</v>
      </c>
      <c r="R561" s="244"/>
      <c r="S561" s="303">
        <f>+'MEMORIAS DE CANTIDADES'!L4909</f>
        <v>67</v>
      </c>
      <c r="T561" s="304">
        <f t="shared" si="356"/>
        <v>75351</v>
      </c>
      <c r="U561" s="501">
        <f t="shared" si="359"/>
        <v>5048517</v>
      </c>
    </row>
    <row r="562" spans="2:23" ht="30" customHeight="1">
      <c r="B562" s="80"/>
      <c r="C562" s="90">
        <v>11.11</v>
      </c>
      <c r="D562" s="97"/>
      <c r="E562" s="97"/>
      <c r="F562" s="97"/>
      <c r="G562" s="98" t="s">
        <v>198</v>
      </c>
      <c r="H562" s="102" t="s">
        <v>29</v>
      </c>
      <c r="I562" s="87">
        <v>6</v>
      </c>
      <c r="J562" s="88">
        <v>612593</v>
      </c>
      <c r="K562" s="140">
        <f t="shared" si="350"/>
        <v>3675558</v>
      </c>
      <c r="L562" s="315"/>
      <c r="M562" s="508">
        <f t="shared" si="351"/>
        <v>0</v>
      </c>
      <c r="N562" s="307">
        <f t="shared" si="352"/>
        <v>2</v>
      </c>
      <c r="O562" s="313">
        <f t="shared" si="353"/>
        <v>0</v>
      </c>
      <c r="P562" s="313">
        <f t="shared" si="354"/>
        <v>1225186</v>
      </c>
      <c r="Q562" s="313">
        <f t="shared" si="358"/>
        <v>-1225186</v>
      </c>
      <c r="R562" s="244"/>
      <c r="S562" s="303">
        <f>+'MEMORIAS DE CANTIDADES'!L4923</f>
        <v>4</v>
      </c>
      <c r="T562" s="304">
        <f t="shared" si="356"/>
        <v>612593</v>
      </c>
      <c r="U562" s="501">
        <f t="shared" si="359"/>
        <v>2450372</v>
      </c>
    </row>
    <row r="563" spans="2:23" ht="30" customHeight="1">
      <c r="B563" s="80"/>
      <c r="C563" s="90">
        <v>11.12</v>
      </c>
      <c r="D563" s="97"/>
      <c r="E563" s="97"/>
      <c r="F563" s="97"/>
      <c r="G563" s="98" t="s">
        <v>199</v>
      </c>
      <c r="H563" s="102" t="s">
        <v>29</v>
      </c>
      <c r="I563" s="87">
        <v>4</v>
      </c>
      <c r="J563" s="88">
        <v>684383</v>
      </c>
      <c r="K563" s="140">
        <f t="shared" si="350"/>
        <v>2737532</v>
      </c>
      <c r="L563" s="315"/>
      <c r="M563" s="508">
        <f t="shared" si="351"/>
        <v>0</v>
      </c>
      <c r="N563" s="307">
        <f t="shared" si="352"/>
        <v>4</v>
      </c>
      <c r="O563" s="313">
        <f t="shared" si="353"/>
        <v>0</v>
      </c>
      <c r="P563" s="313">
        <f t="shared" si="354"/>
        <v>2737532</v>
      </c>
      <c r="Q563" s="313">
        <f t="shared" si="358"/>
        <v>-2737532</v>
      </c>
      <c r="R563" s="244"/>
      <c r="S563" s="303">
        <f>+'MEMORIAS DE CANTIDADES'!L4935</f>
        <v>0</v>
      </c>
      <c r="T563" s="304">
        <f t="shared" si="356"/>
        <v>684383</v>
      </c>
      <c r="U563" s="501">
        <f t="shared" si="359"/>
        <v>0</v>
      </c>
    </row>
    <row r="564" spans="2:23" ht="30" customHeight="1" thickBot="1">
      <c r="B564" s="80"/>
      <c r="C564" s="103" t="s">
        <v>8</v>
      </c>
      <c r="D564" s="592"/>
      <c r="E564" s="592"/>
      <c r="F564" s="592"/>
      <c r="G564" s="593"/>
      <c r="H564" s="592"/>
      <c r="I564" s="507"/>
      <c r="J564" s="104"/>
      <c r="K564" s="142">
        <f>SUM(K552:K563)</f>
        <v>171206818</v>
      </c>
      <c r="L564" s="325"/>
      <c r="M564" s="319"/>
      <c r="N564" s="319"/>
      <c r="O564" s="318">
        <f>SUM(O552:O563)</f>
        <v>2233315</v>
      </c>
      <c r="P564" s="318">
        <f t="shared" ref="P564" si="360">SUM(P552:P563)</f>
        <v>45106282</v>
      </c>
      <c r="Q564" s="318">
        <f>SUM(Q552:Q563)</f>
        <v>-42872967</v>
      </c>
      <c r="R564" s="244"/>
      <c r="S564" s="309"/>
      <c r="T564" s="309"/>
      <c r="U564" s="506">
        <f>SUM(U552:U563)</f>
        <v>128333851</v>
      </c>
      <c r="W564" s="112"/>
    </row>
    <row r="565" spans="2:23" ht="30" customHeight="1" thickBot="1">
      <c r="B565" s="80"/>
      <c r="C565" s="886" t="s">
        <v>200</v>
      </c>
      <c r="D565" s="887"/>
      <c r="E565" s="887"/>
      <c r="F565" s="887"/>
      <c r="G565" s="887"/>
      <c r="H565" s="887"/>
      <c r="I565" s="887"/>
      <c r="J565" s="887"/>
      <c r="K565" s="887"/>
      <c r="L565" s="889"/>
      <c r="M565" s="887"/>
      <c r="N565" s="887"/>
      <c r="O565" s="920"/>
      <c r="P565" s="920"/>
      <c r="Q565" s="920"/>
      <c r="R565" s="589"/>
      <c r="S565" s="589"/>
      <c r="T565" s="589"/>
      <c r="U565" s="500"/>
    </row>
    <row r="566" spans="2:23" ht="30" customHeight="1">
      <c r="B566" s="80"/>
      <c r="C566" s="84">
        <v>12.1</v>
      </c>
      <c r="D566" s="251"/>
      <c r="E566" s="251"/>
      <c r="F566" s="251"/>
      <c r="G566" s="252" t="s">
        <v>201</v>
      </c>
      <c r="H566" s="251" t="s">
        <v>202</v>
      </c>
      <c r="I566" s="255">
        <v>180</v>
      </c>
      <c r="J566" s="246">
        <v>250645</v>
      </c>
      <c r="K566" s="140">
        <f t="shared" ref="K566:K597" si="361">I566*J566</f>
        <v>45116100</v>
      </c>
      <c r="L566" s="314"/>
      <c r="M566" s="508">
        <f t="shared" ref="M566:M595" si="362">+IF(I566&lt;S566,S566-I566,0)</f>
        <v>0</v>
      </c>
      <c r="N566" s="307">
        <f t="shared" ref="N566:N595" si="363">+IF(I566&gt;S566,-S566+I566,0)</f>
        <v>0</v>
      </c>
      <c r="O566" s="313">
        <f t="shared" ref="O566:O595" si="364">+M566*J566</f>
        <v>0</v>
      </c>
      <c r="P566" s="313">
        <f t="shared" ref="P566:P595" si="365">+N566*J566</f>
        <v>0</v>
      </c>
      <c r="Q566" s="511">
        <f t="shared" ref="Q566" si="366">+O566-P566</f>
        <v>0</v>
      </c>
      <c r="R566" s="326"/>
      <c r="S566" s="329">
        <v>180</v>
      </c>
      <c r="T566" s="302">
        <f t="shared" ref="T566:T575" si="367">+J566</f>
        <v>250645</v>
      </c>
      <c r="U566" s="501">
        <f t="shared" ref="U566" si="368">+S566*T566</f>
        <v>45116100</v>
      </c>
    </row>
    <row r="567" spans="2:23" ht="30" customHeight="1">
      <c r="B567" s="80"/>
      <c r="C567" s="84">
        <v>12.2</v>
      </c>
      <c r="D567" s="99"/>
      <c r="E567" s="99"/>
      <c r="F567" s="99"/>
      <c r="G567" s="98" t="s">
        <v>203</v>
      </c>
      <c r="H567" s="97" t="s">
        <v>202</v>
      </c>
      <c r="I567" s="199">
        <v>16</v>
      </c>
      <c r="J567" s="88">
        <v>339588</v>
      </c>
      <c r="K567" s="140">
        <f t="shared" si="361"/>
        <v>5433408</v>
      </c>
      <c r="L567" s="315"/>
      <c r="M567" s="508">
        <f t="shared" si="362"/>
        <v>0</v>
      </c>
      <c r="N567" s="307">
        <f t="shared" si="363"/>
        <v>16</v>
      </c>
      <c r="O567" s="313">
        <f t="shared" si="364"/>
        <v>0</v>
      </c>
      <c r="P567" s="313">
        <f t="shared" si="365"/>
        <v>5433408</v>
      </c>
      <c r="Q567" s="511">
        <f t="shared" ref="Q567:Q623" si="369">+O567-P567</f>
        <v>-5433408</v>
      </c>
      <c r="R567" s="321"/>
      <c r="S567" s="533">
        <v>0</v>
      </c>
      <c r="T567" s="304">
        <f t="shared" si="367"/>
        <v>339588</v>
      </c>
      <c r="U567" s="501">
        <f t="shared" ref="U567:U623" si="370">+S567*T567</f>
        <v>0</v>
      </c>
    </row>
    <row r="568" spans="2:23" ht="30" customHeight="1">
      <c r="B568" s="80"/>
      <c r="C568" s="84">
        <v>12.3</v>
      </c>
      <c r="D568" s="97"/>
      <c r="E568" s="97"/>
      <c r="F568" s="97"/>
      <c r="G568" s="98" t="s">
        <v>204</v>
      </c>
      <c r="H568" s="97" t="s">
        <v>202</v>
      </c>
      <c r="I568" s="199">
        <v>40</v>
      </c>
      <c r="J568" s="88">
        <v>289089</v>
      </c>
      <c r="K568" s="140">
        <f t="shared" si="361"/>
        <v>11563560</v>
      </c>
      <c r="L568" s="315"/>
      <c r="M568" s="508">
        <f t="shared" si="362"/>
        <v>0</v>
      </c>
      <c r="N568" s="307">
        <f t="shared" si="363"/>
        <v>25</v>
      </c>
      <c r="O568" s="313">
        <f t="shared" si="364"/>
        <v>0</v>
      </c>
      <c r="P568" s="313">
        <f t="shared" si="365"/>
        <v>7227225</v>
      </c>
      <c r="Q568" s="511">
        <f t="shared" si="369"/>
        <v>-7227225</v>
      </c>
      <c r="R568" s="321"/>
      <c r="S568" s="533">
        <v>15</v>
      </c>
      <c r="T568" s="304">
        <f t="shared" si="367"/>
        <v>289089</v>
      </c>
      <c r="U568" s="501">
        <f t="shared" si="370"/>
        <v>4336335</v>
      </c>
    </row>
    <row r="569" spans="2:23" ht="30" customHeight="1">
      <c r="B569" s="80"/>
      <c r="C569" s="84">
        <v>12.4</v>
      </c>
      <c r="D569" s="95"/>
      <c r="E569" s="95"/>
      <c r="F569" s="95"/>
      <c r="G569" s="100" t="s">
        <v>205</v>
      </c>
      <c r="H569" s="95" t="s">
        <v>202</v>
      </c>
      <c r="I569" s="199">
        <v>5</v>
      </c>
      <c r="J569" s="88">
        <v>319359</v>
      </c>
      <c r="K569" s="140">
        <f t="shared" si="361"/>
        <v>1596795</v>
      </c>
      <c r="L569" s="315"/>
      <c r="M569" s="508">
        <f t="shared" si="362"/>
        <v>0</v>
      </c>
      <c r="N569" s="307">
        <f t="shared" si="363"/>
        <v>3</v>
      </c>
      <c r="O569" s="313">
        <f t="shared" si="364"/>
        <v>0</v>
      </c>
      <c r="P569" s="313">
        <f t="shared" si="365"/>
        <v>958077</v>
      </c>
      <c r="Q569" s="511">
        <f t="shared" si="369"/>
        <v>-958077</v>
      </c>
      <c r="R569" s="321"/>
      <c r="S569" s="533">
        <v>2</v>
      </c>
      <c r="T569" s="304">
        <f t="shared" si="367"/>
        <v>319359</v>
      </c>
      <c r="U569" s="501">
        <f t="shared" si="370"/>
        <v>638718</v>
      </c>
    </row>
    <row r="570" spans="2:23" ht="30" customHeight="1">
      <c r="B570" s="80"/>
      <c r="C570" s="84">
        <v>12.5</v>
      </c>
      <c r="D570" s="97"/>
      <c r="E570" s="97"/>
      <c r="F570" s="97"/>
      <c r="G570" s="98" t="s">
        <v>206</v>
      </c>
      <c r="H570" s="97" t="s">
        <v>202</v>
      </c>
      <c r="I570" s="199">
        <v>4</v>
      </c>
      <c r="J570" s="101">
        <v>325854</v>
      </c>
      <c r="K570" s="140">
        <f t="shared" si="361"/>
        <v>1303416</v>
      </c>
      <c r="L570" s="315"/>
      <c r="M570" s="508">
        <f t="shared" si="362"/>
        <v>0</v>
      </c>
      <c r="N570" s="307">
        <f t="shared" si="363"/>
        <v>2</v>
      </c>
      <c r="O570" s="313">
        <f t="shared" si="364"/>
        <v>0</v>
      </c>
      <c r="P570" s="313">
        <f t="shared" si="365"/>
        <v>651708</v>
      </c>
      <c r="Q570" s="511">
        <f t="shared" si="369"/>
        <v>-651708</v>
      </c>
      <c r="R570" s="321"/>
      <c r="S570" s="533">
        <v>2</v>
      </c>
      <c r="T570" s="304">
        <f t="shared" si="367"/>
        <v>325854</v>
      </c>
      <c r="U570" s="501">
        <f t="shared" si="370"/>
        <v>651708</v>
      </c>
    </row>
    <row r="571" spans="2:23" ht="30" customHeight="1">
      <c r="B571" s="80"/>
      <c r="C571" s="84">
        <v>12.6</v>
      </c>
      <c r="D571" s="95"/>
      <c r="E571" s="95"/>
      <c r="F571" s="95"/>
      <c r="G571" s="100" t="s">
        <v>207</v>
      </c>
      <c r="H571" s="95" t="s">
        <v>202</v>
      </c>
      <c r="I571" s="199">
        <v>36</v>
      </c>
      <c r="J571" s="101">
        <v>195139</v>
      </c>
      <c r="K571" s="140">
        <f t="shared" si="361"/>
        <v>7025004</v>
      </c>
      <c r="L571" s="315"/>
      <c r="M571" s="508">
        <f t="shared" si="362"/>
        <v>0</v>
      </c>
      <c r="N571" s="307">
        <f t="shared" si="363"/>
        <v>19</v>
      </c>
      <c r="O571" s="313">
        <f t="shared" si="364"/>
        <v>0</v>
      </c>
      <c r="P571" s="313">
        <f t="shared" si="365"/>
        <v>3707641</v>
      </c>
      <c r="Q571" s="511">
        <f t="shared" si="369"/>
        <v>-3707641</v>
      </c>
      <c r="R571" s="321"/>
      <c r="S571" s="533">
        <v>17</v>
      </c>
      <c r="T571" s="304">
        <f t="shared" si="367"/>
        <v>195139</v>
      </c>
      <c r="U571" s="501">
        <f t="shared" si="370"/>
        <v>3317363</v>
      </c>
    </row>
    <row r="572" spans="2:23" ht="30" customHeight="1">
      <c r="B572" s="80"/>
      <c r="C572" s="84">
        <v>12.7</v>
      </c>
      <c r="D572" s="97"/>
      <c r="E572" s="85"/>
      <c r="F572" s="97"/>
      <c r="G572" s="98" t="s">
        <v>208</v>
      </c>
      <c r="H572" s="97" t="s">
        <v>202</v>
      </c>
      <c r="I572" s="199">
        <v>6</v>
      </c>
      <c r="J572" s="88">
        <v>228656</v>
      </c>
      <c r="K572" s="140">
        <f t="shared" si="361"/>
        <v>1371936</v>
      </c>
      <c r="L572" s="315"/>
      <c r="M572" s="508">
        <f t="shared" si="362"/>
        <v>4</v>
      </c>
      <c r="N572" s="307">
        <f t="shared" si="363"/>
        <v>0</v>
      </c>
      <c r="O572" s="313">
        <f t="shared" si="364"/>
        <v>914624</v>
      </c>
      <c r="P572" s="313">
        <f t="shared" si="365"/>
        <v>0</v>
      </c>
      <c r="Q572" s="511">
        <f t="shared" si="369"/>
        <v>914624</v>
      </c>
      <c r="R572" s="321"/>
      <c r="S572" s="533">
        <v>10</v>
      </c>
      <c r="T572" s="304">
        <f t="shared" si="367"/>
        <v>228656</v>
      </c>
      <c r="U572" s="501">
        <f t="shared" si="370"/>
        <v>2286560</v>
      </c>
    </row>
    <row r="573" spans="2:23" ht="30" customHeight="1">
      <c r="B573" s="80"/>
      <c r="C573" s="84">
        <v>12.8</v>
      </c>
      <c r="D573" s="97"/>
      <c r="E573" s="85"/>
      <c r="F573" s="97"/>
      <c r="G573" s="98" t="s">
        <v>348</v>
      </c>
      <c r="H573" s="97" t="s">
        <v>202</v>
      </c>
      <c r="I573" s="199">
        <v>112</v>
      </c>
      <c r="J573" s="88">
        <v>231540</v>
      </c>
      <c r="K573" s="140">
        <f t="shared" si="361"/>
        <v>25932480</v>
      </c>
      <c r="L573" s="315"/>
      <c r="M573" s="508">
        <f t="shared" si="362"/>
        <v>0</v>
      </c>
      <c r="N573" s="307">
        <f t="shared" si="363"/>
        <v>25</v>
      </c>
      <c r="O573" s="313">
        <f t="shared" si="364"/>
        <v>0</v>
      </c>
      <c r="P573" s="313">
        <f t="shared" si="365"/>
        <v>5788500</v>
      </c>
      <c r="Q573" s="511">
        <f t="shared" si="369"/>
        <v>-5788500</v>
      </c>
      <c r="R573" s="321"/>
      <c r="S573" s="533">
        <v>87</v>
      </c>
      <c r="T573" s="304">
        <f t="shared" si="367"/>
        <v>231540</v>
      </c>
      <c r="U573" s="501">
        <f t="shared" si="370"/>
        <v>20143980</v>
      </c>
    </row>
    <row r="574" spans="2:23" ht="73.5" customHeight="1">
      <c r="B574" s="80"/>
      <c r="C574" s="84">
        <v>12.9</v>
      </c>
      <c r="D574" s="97"/>
      <c r="E574" s="85"/>
      <c r="F574" s="97"/>
      <c r="G574" s="98" t="s">
        <v>213</v>
      </c>
      <c r="H574" s="97" t="s">
        <v>202</v>
      </c>
      <c r="I574" s="199">
        <v>49</v>
      </c>
      <c r="J574" s="88">
        <v>5174043</v>
      </c>
      <c r="K574" s="140">
        <f t="shared" si="361"/>
        <v>253528107</v>
      </c>
      <c r="L574" s="315"/>
      <c r="M574" s="508">
        <f t="shared" si="362"/>
        <v>0</v>
      </c>
      <c r="N574" s="307">
        <f t="shared" si="363"/>
        <v>12</v>
      </c>
      <c r="O574" s="313">
        <f t="shared" si="364"/>
        <v>0</v>
      </c>
      <c r="P574" s="313">
        <f t="shared" si="365"/>
        <v>62088516</v>
      </c>
      <c r="Q574" s="511">
        <f t="shared" si="369"/>
        <v>-62088516</v>
      </c>
      <c r="R574" s="321"/>
      <c r="S574" s="533">
        <v>37</v>
      </c>
      <c r="T574" s="304">
        <f t="shared" si="367"/>
        <v>5174043</v>
      </c>
      <c r="U574" s="501">
        <f t="shared" si="370"/>
        <v>191439591</v>
      </c>
      <c r="V574" s="153"/>
    </row>
    <row r="575" spans="2:23" ht="88.5" customHeight="1">
      <c r="B575" s="80"/>
      <c r="C575" s="90">
        <v>12.1</v>
      </c>
      <c r="D575" s="97"/>
      <c r="E575" s="85"/>
      <c r="F575" s="97"/>
      <c r="G575" s="98" t="s">
        <v>349</v>
      </c>
      <c r="H575" s="97" t="s">
        <v>202</v>
      </c>
      <c r="I575" s="199">
        <v>40</v>
      </c>
      <c r="J575" s="88">
        <v>4318644</v>
      </c>
      <c r="K575" s="140">
        <f t="shared" si="361"/>
        <v>172745760</v>
      </c>
      <c r="L575" s="315"/>
      <c r="M575" s="508">
        <f t="shared" si="362"/>
        <v>0</v>
      </c>
      <c r="N575" s="307">
        <f t="shared" si="363"/>
        <v>28</v>
      </c>
      <c r="O575" s="313">
        <f t="shared" si="364"/>
        <v>0</v>
      </c>
      <c r="P575" s="313">
        <f t="shared" si="365"/>
        <v>120922032</v>
      </c>
      <c r="Q575" s="511">
        <f t="shared" si="369"/>
        <v>-120922032</v>
      </c>
      <c r="R575" s="321"/>
      <c r="S575" s="533">
        <v>12</v>
      </c>
      <c r="T575" s="304">
        <f t="shared" si="367"/>
        <v>4318644</v>
      </c>
      <c r="U575" s="501">
        <f t="shared" si="370"/>
        <v>51823728</v>
      </c>
    </row>
    <row r="576" spans="2:23" ht="30" customHeight="1">
      <c r="B576" s="80"/>
      <c r="C576" s="90">
        <f>+C575+0.01</f>
        <v>12.11</v>
      </c>
      <c r="D576" s="97"/>
      <c r="E576" s="97"/>
      <c r="F576" s="97"/>
      <c r="G576" s="98" t="s">
        <v>215</v>
      </c>
      <c r="H576" s="102" t="s">
        <v>202</v>
      </c>
      <c r="I576" s="275">
        <v>16</v>
      </c>
      <c r="J576" s="88">
        <v>1214431</v>
      </c>
      <c r="K576" s="140">
        <f t="shared" si="361"/>
        <v>19430896</v>
      </c>
      <c r="L576" s="315"/>
      <c r="M576" s="508">
        <f t="shared" si="362"/>
        <v>0</v>
      </c>
      <c r="N576" s="307">
        <f t="shared" si="363"/>
        <v>16</v>
      </c>
      <c r="O576" s="313">
        <f t="shared" si="364"/>
        <v>0</v>
      </c>
      <c r="P576" s="313">
        <f t="shared" si="365"/>
        <v>19430896</v>
      </c>
      <c r="Q576" s="511">
        <f t="shared" si="369"/>
        <v>-19430896</v>
      </c>
      <c r="R576" s="321"/>
      <c r="S576" s="533">
        <v>0</v>
      </c>
      <c r="T576" s="304">
        <f t="shared" ref="T576:T607" si="371">+J576</f>
        <v>1214431</v>
      </c>
      <c r="U576" s="501">
        <f t="shared" si="370"/>
        <v>0</v>
      </c>
    </row>
    <row r="577" spans="2:22" ht="30" customHeight="1">
      <c r="B577" s="80"/>
      <c r="C577" s="90">
        <f t="shared" ref="C577:C623" si="372">+C576+0.01</f>
        <v>12.12</v>
      </c>
      <c r="D577" s="97"/>
      <c r="E577" s="97"/>
      <c r="F577" s="97"/>
      <c r="G577" s="98" t="s">
        <v>216</v>
      </c>
      <c r="H577" s="102" t="s">
        <v>202</v>
      </c>
      <c r="I577" s="275">
        <v>25</v>
      </c>
      <c r="J577" s="88">
        <v>820511</v>
      </c>
      <c r="K577" s="140">
        <f t="shared" si="361"/>
        <v>20512775</v>
      </c>
      <c r="L577" s="315"/>
      <c r="M577" s="508">
        <f t="shared" si="362"/>
        <v>0</v>
      </c>
      <c r="N577" s="307">
        <f t="shared" si="363"/>
        <v>0</v>
      </c>
      <c r="O577" s="313">
        <f t="shared" si="364"/>
        <v>0</v>
      </c>
      <c r="P577" s="313">
        <f t="shared" si="365"/>
        <v>0</v>
      </c>
      <c r="Q577" s="511">
        <f t="shared" si="369"/>
        <v>0</v>
      </c>
      <c r="R577" s="321"/>
      <c r="S577" s="533">
        <v>25</v>
      </c>
      <c r="T577" s="304">
        <f t="shared" si="371"/>
        <v>820511</v>
      </c>
      <c r="U577" s="501">
        <f t="shared" si="370"/>
        <v>20512775</v>
      </c>
    </row>
    <row r="578" spans="2:22" ht="48" customHeight="1">
      <c r="B578" s="80"/>
      <c r="C578" s="90">
        <f t="shared" si="372"/>
        <v>12.129999999999999</v>
      </c>
      <c r="D578" s="97"/>
      <c r="E578" s="97"/>
      <c r="F578" s="97"/>
      <c r="G578" s="98" t="s">
        <v>350</v>
      </c>
      <c r="H578" s="102" t="s">
        <v>202</v>
      </c>
      <c r="I578" s="275">
        <v>34</v>
      </c>
      <c r="J578" s="88">
        <v>2425180</v>
      </c>
      <c r="K578" s="140">
        <f t="shared" si="361"/>
        <v>82456120</v>
      </c>
      <c r="L578" s="315"/>
      <c r="M578" s="508">
        <f t="shared" si="362"/>
        <v>34</v>
      </c>
      <c r="N578" s="307">
        <f t="shared" si="363"/>
        <v>0</v>
      </c>
      <c r="O578" s="313">
        <f t="shared" si="364"/>
        <v>82456120</v>
      </c>
      <c r="P578" s="313">
        <f t="shared" si="365"/>
        <v>0</v>
      </c>
      <c r="Q578" s="511">
        <f t="shared" si="369"/>
        <v>82456120</v>
      </c>
      <c r="R578" s="321"/>
      <c r="S578" s="533">
        <v>68</v>
      </c>
      <c r="T578" s="304">
        <f t="shared" si="371"/>
        <v>2425180</v>
      </c>
      <c r="U578" s="501">
        <f t="shared" si="370"/>
        <v>164912240</v>
      </c>
      <c r="V578" s="412"/>
    </row>
    <row r="579" spans="2:22" ht="30" customHeight="1">
      <c r="B579" s="80"/>
      <c r="C579" s="90">
        <f t="shared" si="372"/>
        <v>12.139999999999999</v>
      </c>
      <c r="D579" s="97"/>
      <c r="E579" s="97"/>
      <c r="F579" s="97"/>
      <c r="G579" s="98" t="s">
        <v>351</v>
      </c>
      <c r="H579" s="102" t="s">
        <v>65</v>
      </c>
      <c r="I579" s="275">
        <v>680</v>
      </c>
      <c r="J579" s="88">
        <v>193696</v>
      </c>
      <c r="K579" s="140">
        <f t="shared" si="361"/>
        <v>131713280</v>
      </c>
      <c r="L579" s="315"/>
      <c r="M579" s="508">
        <f t="shared" si="362"/>
        <v>100</v>
      </c>
      <c r="N579" s="307">
        <f t="shared" si="363"/>
        <v>0</v>
      </c>
      <c r="O579" s="313">
        <f t="shared" si="364"/>
        <v>19369600</v>
      </c>
      <c r="P579" s="313">
        <f t="shared" si="365"/>
        <v>0</v>
      </c>
      <c r="Q579" s="511">
        <f t="shared" si="369"/>
        <v>19369600</v>
      </c>
      <c r="R579" s="321"/>
      <c r="S579" s="533">
        <v>780</v>
      </c>
      <c r="T579" s="304">
        <f t="shared" si="371"/>
        <v>193696</v>
      </c>
      <c r="U579" s="501">
        <f t="shared" si="370"/>
        <v>151082880</v>
      </c>
      <c r="V579" s="70"/>
    </row>
    <row r="580" spans="2:22" ht="30" customHeight="1">
      <c r="B580" s="80"/>
      <c r="C580" s="90">
        <f t="shared" si="372"/>
        <v>12.149999999999999</v>
      </c>
      <c r="D580" s="97"/>
      <c r="E580" s="97"/>
      <c r="F580" s="97"/>
      <c r="G580" s="98" t="s">
        <v>352</v>
      </c>
      <c r="H580" s="102" t="s">
        <v>65</v>
      </c>
      <c r="I580" s="275">
        <v>608</v>
      </c>
      <c r="J580" s="88">
        <v>395529</v>
      </c>
      <c r="K580" s="140">
        <f t="shared" si="361"/>
        <v>240481632</v>
      </c>
      <c r="L580" s="315"/>
      <c r="M580" s="508">
        <f t="shared" si="362"/>
        <v>70</v>
      </c>
      <c r="N580" s="307">
        <f t="shared" si="363"/>
        <v>0</v>
      </c>
      <c r="O580" s="313">
        <f t="shared" si="364"/>
        <v>27687030</v>
      </c>
      <c r="P580" s="313">
        <f t="shared" si="365"/>
        <v>0</v>
      </c>
      <c r="Q580" s="511">
        <f t="shared" si="369"/>
        <v>27687030</v>
      </c>
      <c r="R580" s="321"/>
      <c r="S580" s="533">
        <v>678</v>
      </c>
      <c r="T580" s="304">
        <f t="shared" si="371"/>
        <v>395529</v>
      </c>
      <c r="U580" s="501">
        <f t="shared" si="370"/>
        <v>268168662</v>
      </c>
      <c r="V580" s="70"/>
    </row>
    <row r="581" spans="2:22" ht="30" customHeight="1">
      <c r="B581" s="80"/>
      <c r="C581" s="90">
        <f t="shared" si="372"/>
        <v>12.159999999999998</v>
      </c>
      <c r="D581" s="97"/>
      <c r="E581" s="97"/>
      <c r="F581" s="97"/>
      <c r="G581" s="98" t="s">
        <v>353</v>
      </c>
      <c r="H581" s="102" t="s">
        <v>65</v>
      </c>
      <c r="I581" s="275">
        <v>905</v>
      </c>
      <c r="J581" s="88">
        <v>517769</v>
      </c>
      <c r="K581" s="140">
        <f t="shared" si="361"/>
        <v>468580945</v>
      </c>
      <c r="L581" s="315"/>
      <c r="M581" s="508">
        <f t="shared" si="362"/>
        <v>80</v>
      </c>
      <c r="N581" s="307">
        <f t="shared" si="363"/>
        <v>0</v>
      </c>
      <c r="O581" s="313">
        <f t="shared" si="364"/>
        <v>41421520</v>
      </c>
      <c r="P581" s="313">
        <f t="shared" si="365"/>
        <v>0</v>
      </c>
      <c r="Q581" s="511">
        <f t="shared" si="369"/>
        <v>41421520</v>
      </c>
      <c r="R581" s="321"/>
      <c r="S581" s="533">
        <v>985</v>
      </c>
      <c r="T581" s="304">
        <f t="shared" si="371"/>
        <v>517769</v>
      </c>
      <c r="U581" s="501">
        <f t="shared" si="370"/>
        <v>510002465</v>
      </c>
      <c r="V581" s="70"/>
    </row>
    <row r="582" spans="2:22" ht="30" customHeight="1">
      <c r="B582" s="80"/>
      <c r="C582" s="90">
        <f t="shared" si="372"/>
        <v>12.169999999999998</v>
      </c>
      <c r="D582" s="97"/>
      <c r="E582" s="97"/>
      <c r="F582" s="97"/>
      <c r="G582" s="98" t="s">
        <v>221</v>
      </c>
      <c r="H582" s="102" t="s">
        <v>202</v>
      </c>
      <c r="I582" s="275">
        <v>15</v>
      </c>
      <c r="J582" s="88">
        <v>80379</v>
      </c>
      <c r="K582" s="140">
        <f t="shared" si="361"/>
        <v>1205685</v>
      </c>
      <c r="L582" s="315"/>
      <c r="M582" s="508">
        <f t="shared" si="362"/>
        <v>0</v>
      </c>
      <c r="N582" s="307">
        <f t="shared" si="363"/>
        <v>0</v>
      </c>
      <c r="O582" s="313">
        <f t="shared" si="364"/>
        <v>0</v>
      </c>
      <c r="P582" s="313">
        <f t="shared" si="365"/>
        <v>0</v>
      </c>
      <c r="Q582" s="511">
        <f t="shared" si="369"/>
        <v>0</v>
      </c>
      <c r="R582" s="321"/>
      <c r="S582" s="533">
        <v>15</v>
      </c>
      <c r="T582" s="304">
        <f t="shared" si="371"/>
        <v>80379</v>
      </c>
      <c r="U582" s="501">
        <f t="shared" si="370"/>
        <v>1205685</v>
      </c>
      <c r="V582"/>
    </row>
    <row r="583" spans="2:22" ht="30" customHeight="1">
      <c r="B583" s="80"/>
      <c r="C583" s="90">
        <f t="shared" si="372"/>
        <v>12.179999999999998</v>
      </c>
      <c r="D583" s="97"/>
      <c r="E583" s="97"/>
      <c r="F583" s="97"/>
      <c r="G583" s="98" t="s">
        <v>222</v>
      </c>
      <c r="H583" s="102" t="s">
        <v>202</v>
      </c>
      <c r="I583" s="275">
        <v>25</v>
      </c>
      <c r="J583" s="88">
        <v>2142888</v>
      </c>
      <c r="K583" s="140">
        <f t="shared" si="361"/>
        <v>53572200</v>
      </c>
      <c r="L583" s="315"/>
      <c r="M583" s="508">
        <f t="shared" si="362"/>
        <v>17</v>
      </c>
      <c r="N583" s="307">
        <f t="shared" si="363"/>
        <v>0</v>
      </c>
      <c r="O583" s="313">
        <f t="shared" si="364"/>
        <v>36429096</v>
      </c>
      <c r="P583" s="313">
        <f t="shared" si="365"/>
        <v>0</v>
      </c>
      <c r="Q583" s="511">
        <f t="shared" si="369"/>
        <v>36429096</v>
      </c>
      <c r="R583" s="321"/>
      <c r="S583" s="533">
        <f>25+17</f>
        <v>42</v>
      </c>
      <c r="T583" s="304">
        <f t="shared" si="371"/>
        <v>2142888</v>
      </c>
      <c r="U583" s="501">
        <f t="shared" si="370"/>
        <v>90001296</v>
      </c>
      <c r="V583" s="452"/>
    </row>
    <row r="584" spans="2:22" ht="30" customHeight="1">
      <c r="B584" s="80"/>
      <c r="C584" s="90">
        <f t="shared" si="372"/>
        <v>12.189999999999998</v>
      </c>
      <c r="D584" s="97"/>
      <c r="E584" s="97"/>
      <c r="F584" s="97"/>
      <c r="G584" s="98" t="s">
        <v>354</v>
      </c>
      <c r="H584" s="102" t="s">
        <v>65</v>
      </c>
      <c r="I584" s="275">
        <v>40</v>
      </c>
      <c r="J584" s="88">
        <v>248666</v>
      </c>
      <c r="K584" s="140">
        <f t="shared" si="361"/>
        <v>9946640</v>
      </c>
      <c r="L584" s="315"/>
      <c r="M584" s="508">
        <f t="shared" si="362"/>
        <v>0</v>
      </c>
      <c r="N584" s="307">
        <f t="shared" si="363"/>
        <v>0</v>
      </c>
      <c r="O584" s="313">
        <f t="shared" si="364"/>
        <v>0</v>
      </c>
      <c r="P584" s="313">
        <f t="shared" si="365"/>
        <v>0</v>
      </c>
      <c r="Q584" s="511">
        <f t="shared" si="369"/>
        <v>0</v>
      </c>
      <c r="R584" s="321"/>
      <c r="S584" s="533">
        <v>40</v>
      </c>
      <c r="T584" s="304">
        <f t="shared" si="371"/>
        <v>248666</v>
      </c>
      <c r="U584" s="501">
        <f t="shared" si="370"/>
        <v>9946640</v>
      </c>
      <c r="V584" s="70"/>
    </row>
    <row r="585" spans="2:22" ht="30" customHeight="1">
      <c r="B585" s="80"/>
      <c r="C585" s="90">
        <f t="shared" si="372"/>
        <v>12.199999999999998</v>
      </c>
      <c r="D585" s="97"/>
      <c r="E585" s="97"/>
      <c r="F585" s="97"/>
      <c r="G585" s="98" t="s">
        <v>355</v>
      </c>
      <c r="H585" s="102" t="s">
        <v>65</v>
      </c>
      <c r="I585" s="275">
        <v>795</v>
      </c>
      <c r="J585" s="88">
        <v>67319</v>
      </c>
      <c r="K585" s="140">
        <f t="shared" si="361"/>
        <v>53518605</v>
      </c>
      <c r="L585" s="315"/>
      <c r="M585" s="508">
        <f t="shared" si="362"/>
        <v>100</v>
      </c>
      <c r="N585" s="307">
        <f t="shared" si="363"/>
        <v>0</v>
      </c>
      <c r="O585" s="313">
        <f t="shared" si="364"/>
        <v>6731900</v>
      </c>
      <c r="P585" s="313">
        <f t="shared" si="365"/>
        <v>0</v>
      </c>
      <c r="Q585" s="511">
        <f t="shared" si="369"/>
        <v>6731900</v>
      </c>
      <c r="R585" s="321"/>
      <c r="S585" s="533">
        <v>895</v>
      </c>
      <c r="T585" s="304">
        <f t="shared" si="371"/>
        <v>67319</v>
      </c>
      <c r="U585" s="501">
        <f t="shared" si="370"/>
        <v>60250505</v>
      </c>
      <c r="V585" s="70"/>
    </row>
    <row r="586" spans="2:22" ht="30" customHeight="1">
      <c r="B586" s="80"/>
      <c r="C586" s="90">
        <f t="shared" si="372"/>
        <v>12.209999999999997</v>
      </c>
      <c r="D586" s="97"/>
      <c r="E586" s="97"/>
      <c r="F586" s="97"/>
      <c r="G586" s="98" t="s">
        <v>356</v>
      </c>
      <c r="H586" s="102" t="s">
        <v>65</v>
      </c>
      <c r="I586" s="275">
        <v>579</v>
      </c>
      <c r="J586" s="88">
        <v>77258</v>
      </c>
      <c r="K586" s="140">
        <f t="shared" si="361"/>
        <v>44732382</v>
      </c>
      <c r="L586" s="315"/>
      <c r="M586" s="508">
        <f t="shared" si="362"/>
        <v>161</v>
      </c>
      <c r="N586" s="307">
        <f t="shared" si="363"/>
        <v>0</v>
      </c>
      <c r="O586" s="313">
        <f t="shared" si="364"/>
        <v>12438538</v>
      </c>
      <c r="P586" s="313">
        <f t="shared" si="365"/>
        <v>0</v>
      </c>
      <c r="Q586" s="511">
        <f t="shared" si="369"/>
        <v>12438538</v>
      </c>
      <c r="R586" s="321"/>
      <c r="S586" s="533">
        <v>740</v>
      </c>
      <c r="T586" s="304">
        <f t="shared" si="371"/>
        <v>77258</v>
      </c>
      <c r="U586" s="501">
        <f t="shared" si="370"/>
        <v>57170920</v>
      </c>
      <c r="V586" s="70"/>
    </row>
    <row r="587" spans="2:22" ht="30" customHeight="1">
      <c r="B587" s="80"/>
      <c r="C587" s="90">
        <f t="shared" si="372"/>
        <v>12.219999999999997</v>
      </c>
      <c r="D587" s="97"/>
      <c r="E587" s="97"/>
      <c r="F587" s="97"/>
      <c r="G587" s="98" t="s">
        <v>357</v>
      </c>
      <c r="H587" s="102" t="s">
        <v>65</v>
      </c>
      <c r="I587" s="275">
        <v>370</v>
      </c>
      <c r="J587" s="88">
        <v>195540</v>
      </c>
      <c r="K587" s="140">
        <f t="shared" si="361"/>
        <v>72349800</v>
      </c>
      <c r="L587" s="315"/>
      <c r="M587" s="508">
        <f t="shared" si="362"/>
        <v>0</v>
      </c>
      <c r="N587" s="307">
        <f t="shared" si="363"/>
        <v>330</v>
      </c>
      <c r="O587" s="313">
        <f t="shared" si="364"/>
        <v>0</v>
      </c>
      <c r="P587" s="313">
        <f t="shared" si="365"/>
        <v>64528200</v>
      </c>
      <c r="Q587" s="511">
        <f t="shared" si="369"/>
        <v>-64528200</v>
      </c>
      <c r="R587" s="321"/>
      <c r="S587" s="533">
        <v>40</v>
      </c>
      <c r="T587" s="304">
        <f t="shared" si="371"/>
        <v>195540</v>
      </c>
      <c r="U587" s="501">
        <f t="shared" si="370"/>
        <v>7821600</v>
      </c>
      <c r="V587" s="70"/>
    </row>
    <row r="588" spans="2:22" ht="30" customHeight="1">
      <c r="B588" s="80"/>
      <c r="C588" s="90">
        <f t="shared" si="372"/>
        <v>12.229999999999997</v>
      </c>
      <c r="D588" s="97"/>
      <c r="E588" s="97"/>
      <c r="F588" s="97"/>
      <c r="G588" s="98" t="s">
        <v>228</v>
      </c>
      <c r="H588" s="102" t="s">
        <v>202</v>
      </c>
      <c r="I588" s="275">
        <v>8</v>
      </c>
      <c r="J588" s="88">
        <v>52682063</v>
      </c>
      <c r="K588" s="140">
        <f t="shared" si="361"/>
        <v>421456504</v>
      </c>
      <c r="L588" s="315"/>
      <c r="M588" s="508">
        <f t="shared" si="362"/>
        <v>0</v>
      </c>
      <c r="N588" s="307">
        <f t="shared" si="363"/>
        <v>0</v>
      </c>
      <c r="O588" s="313">
        <f t="shared" si="364"/>
        <v>0</v>
      </c>
      <c r="P588" s="313">
        <f t="shared" si="365"/>
        <v>0</v>
      </c>
      <c r="Q588" s="511">
        <f t="shared" si="369"/>
        <v>0</v>
      </c>
      <c r="R588" s="321"/>
      <c r="S588" s="533">
        <v>8</v>
      </c>
      <c r="T588" s="304">
        <f t="shared" si="371"/>
        <v>52682063</v>
      </c>
      <c r="U588" s="501">
        <f t="shared" si="370"/>
        <v>421456504</v>
      </c>
    </row>
    <row r="589" spans="2:22" ht="30" customHeight="1">
      <c r="B589" s="80"/>
      <c r="C589" s="90">
        <f t="shared" si="372"/>
        <v>12.239999999999997</v>
      </c>
      <c r="D589" s="97"/>
      <c r="E589" s="97"/>
      <c r="F589" s="97"/>
      <c r="G589" s="98" t="s">
        <v>358</v>
      </c>
      <c r="H589" s="102" t="s">
        <v>202</v>
      </c>
      <c r="I589" s="275">
        <v>8</v>
      </c>
      <c r="J589" s="88">
        <v>15495679</v>
      </c>
      <c r="K589" s="140">
        <f t="shared" si="361"/>
        <v>123965432</v>
      </c>
      <c r="L589" s="315"/>
      <c r="M589" s="508">
        <f t="shared" si="362"/>
        <v>0</v>
      </c>
      <c r="N589" s="307">
        <f t="shared" si="363"/>
        <v>0</v>
      </c>
      <c r="O589" s="313">
        <f t="shared" si="364"/>
        <v>0</v>
      </c>
      <c r="P589" s="313">
        <f t="shared" si="365"/>
        <v>0</v>
      </c>
      <c r="Q589" s="511">
        <f t="shared" si="369"/>
        <v>0</v>
      </c>
      <c r="R589" s="321"/>
      <c r="S589" s="533">
        <v>8</v>
      </c>
      <c r="T589" s="304">
        <f t="shared" si="371"/>
        <v>15495679</v>
      </c>
      <c r="U589" s="501">
        <f t="shared" si="370"/>
        <v>123965432</v>
      </c>
    </row>
    <row r="590" spans="2:22" ht="30" customHeight="1">
      <c r="B590" s="80"/>
      <c r="C590" s="90">
        <f t="shared" si="372"/>
        <v>12.249999999999996</v>
      </c>
      <c r="D590" s="97"/>
      <c r="E590" s="97"/>
      <c r="F590" s="97"/>
      <c r="G590" s="98" t="s">
        <v>359</v>
      </c>
      <c r="H590" s="102" t="s">
        <v>202</v>
      </c>
      <c r="I590" s="275">
        <v>20</v>
      </c>
      <c r="J590" s="88">
        <v>2108439</v>
      </c>
      <c r="K590" s="140">
        <f t="shared" si="361"/>
        <v>42168780</v>
      </c>
      <c r="L590" s="315"/>
      <c r="M590" s="508">
        <f t="shared" si="362"/>
        <v>0</v>
      </c>
      <c r="N590" s="307">
        <f t="shared" si="363"/>
        <v>0</v>
      </c>
      <c r="O590" s="313">
        <f t="shared" si="364"/>
        <v>0</v>
      </c>
      <c r="P590" s="313">
        <f t="shared" si="365"/>
        <v>0</v>
      </c>
      <c r="Q590" s="511">
        <f t="shared" si="369"/>
        <v>0</v>
      </c>
      <c r="R590" s="321"/>
      <c r="S590" s="533">
        <v>20</v>
      </c>
      <c r="T590" s="304">
        <f t="shared" si="371"/>
        <v>2108439</v>
      </c>
      <c r="U590" s="501">
        <f t="shared" si="370"/>
        <v>42168780</v>
      </c>
    </row>
    <row r="591" spans="2:22" ht="30" customHeight="1">
      <c r="B591" s="80"/>
      <c r="C591" s="90">
        <f t="shared" si="372"/>
        <v>12.259999999999996</v>
      </c>
      <c r="D591" s="97"/>
      <c r="E591" s="97"/>
      <c r="F591" s="97"/>
      <c r="G591" s="98" t="s">
        <v>232</v>
      </c>
      <c r="H591" s="102" t="s">
        <v>65</v>
      </c>
      <c r="I591" s="275">
        <v>377</v>
      </c>
      <c r="J591" s="88">
        <v>123785</v>
      </c>
      <c r="K591" s="140">
        <f t="shared" si="361"/>
        <v>46666945</v>
      </c>
      <c r="L591" s="315"/>
      <c r="M591" s="508">
        <f t="shared" si="362"/>
        <v>0</v>
      </c>
      <c r="N591" s="307">
        <f t="shared" si="363"/>
        <v>0</v>
      </c>
      <c r="O591" s="313">
        <f t="shared" si="364"/>
        <v>0</v>
      </c>
      <c r="P591" s="313">
        <f t="shared" si="365"/>
        <v>0</v>
      </c>
      <c r="Q591" s="511">
        <f t="shared" si="369"/>
        <v>0</v>
      </c>
      <c r="R591" s="321"/>
      <c r="S591" s="533">
        <v>377</v>
      </c>
      <c r="T591" s="304">
        <f t="shared" si="371"/>
        <v>123785</v>
      </c>
      <c r="U591" s="501">
        <f t="shared" si="370"/>
        <v>46666945</v>
      </c>
    </row>
    <row r="592" spans="2:22" ht="30" customHeight="1">
      <c r="B592" s="80"/>
      <c r="C592" s="90">
        <f t="shared" si="372"/>
        <v>12.269999999999996</v>
      </c>
      <c r="D592" s="97"/>
      <c r="E592" s="97"/>
      <c r="F592" s="97"/>
      <c r="G592" s="98" t="s">
        <v>360</v>
      </c>
      <c r="H592" s="102" t="s">
        <v>65</v>
      </c>
      <c r="I592" s="275">
        <v>653</v>
      </c>
      <c r="J592" s="88">
        <v>87464</v>
      </c>
      <c r="K592" s="140">
        <f t="shared" si="361"/>
        <v>57113992</v>
      </c>
      <c r="L592" s="315"/>
      <c r="M592" s="508">
        <f t="shared" si="362"/>
        <v>0</v>
      </c>
      <c r="N592" s="307">
        <f t="shared" si="363"/>
        <v>0</v>
      </c>
      <c r="O592" s="313">
        <f t="shared" si="364"/>
        <v>0</v>
      </c>
      <c r="P592" s="313">
        <f t="shared" si="365"/>
        <v>0</v>
      </c>
      <c r="Q592" s="511">
        <f t="shared" si="369"/>
        <v>0</v>
      </c>
      <c r="R592" s="321"/>
      <c r="S592" s="533">
        <v>653</v>
      </c>
      <c r="T592" s="304">
        <f t="shared" si="371"/>
        <v>87464</v>
      </c>
      <c r="U592" s="501">
        <f t="shared" si="370"/>
        <v>57113992</v>
      </c>
    </row>
    <row r="593" spans="2:21" ht="30" customHeight="1">
      <c r="B593" s="80"/>
      <c r="C593" s="90">
        <f t="shared" si="372"/>
        <v>12.279999999999996</v>
      </c>
      <c r="D593" s="97"/>
      <c r="E593" s="97"/>
      <c r="F593" s="97"/>
      <c r="G593" s="98" t="s">
        <v>361</v>
      </c>
      <c r="H593" s="102" t="s">
        <v>202</v>
      </c>
      <c r="I593" s="275">
        <v>8</v>
      </c>
      <c r="J593" s="88">
        <v>1377001</v>
      </c>
      <c r="K593" s="140">
        <f t="shared" si="361"/>
        <v>11016008</v>
      </c>
      <c r="L593" s="315"/>
      <c r="M593" s="508">
        <f t="shared" si="362"/>
        <v>0</v>
      </c>
      <c r="N593" s="307">
        <f t="shared" si="363"/>
        <v>0</v>
      </c>
      <c r="O593" s="313">
        <f t="shared" si="364"/>
        <v>0</v>
      </c>
      <c r="P593" s="313">
        <f t="shared" si="365"/>
        <v>0</v>
      </c>
      <c r="Q593" s="511">
        <f t="shared" si="369"/>
        <v>0</v>
      </c>
      <c r="R593" s="321"/>
      <c r="S593" s="533">
        <v>8</v>
      </c>
      <c r="T593" s="304">
        <f t="shared" si="371"/>
        <v>1377001</v>
      </c>
      <c r="U593" s="501">
        <f t="shared" si="370"/>
        <v>11016008</v>
      </c>
    </row>
    <row r="594" spans="2:21" ht="30" customHeight="1">
      <c r="B594" s="80"/>
      <c r="C594" s="90">
        <f t="shared" si="372"/>
        <v>12.289999999999996</v>
      </c>
      <c r="D594" s="97"/>
      <c r="E594" s="97"/>
      <c r="F594" s="97"/>
      <c r="G594" s="98" t="s">
        <v>362</v>
      </c>
      <c r="H594" s="102" t="s">
        <v>202</v>
      </c>
      <c r="I594" s="275">
        <v>64</v>
      </c>
      <c r="J594" s="88">
        <v>3901409</v>
      </c>
      <c r="K594" s="140">
        <f t="shared" si="361"/>
        <v>249690176</v>
      </c>
      <c r="L594" s="315"/>
      <c r="M594" s="508">
        <f t="shared" si="362"/>
        <v>0</v>
      </c>
      <c r="N594" s="307">
        <f t="shared" si="363"/>
        <v>0</v>
      </c>
      <c r="O594" s="313">
        <f t="shared" si="364"/>
        <v>0</v>
      </c>
      <c r="P594" s="313">
        <f t="shared" si="365"/>
        <v>0</v>
      </c>
      <c r="Q594" s="511">
        <f t="shared" si="369"/>
        <v>0</v>
      </c>
      <c r="R594" s="321"/>
      <c r="S594" s="533">
        <f>64</f>
        <v>64</v>
      </c>
      <c r="T594" s="304">
        <f t="shared" si="371"/>
        <v>3901409</v>
      </c>
      <c r="U594" s="501">
        <f t="shared" si="370"/>
        <v>249690176</v>
      </c>
    </row>
    <row r="595" spans="2:21" ht="30" customHeight="1">
      <c r="B595" s="80"/>
      <c r="C595" s="90">
        <f t="shared" si="372"/>
        <v>12.299999999999995</v>
      </c>
      <c r="D595" s="97"/>
      <c r="E595" s="97"/>
      <c r="F595" s="97"/>
      <c r="G595" s="98" t="s">
        <v>363</v>
      </c>
      <c r="H595" s="102" t="s">
        <v>202</v>
      </c>
      <c r="I595" s="275">
        <v>32</v>
      </c>
      <c r="J595" s="88">
        <v>3484739</v>
      </c>
      <c r="K595" s="140">
        <f t="shared" si="361"/>
        <v>111511648</v>
      </c>
      <c r="L595" s="315"/>
      <c r="M595" s="508">
        <f t="shared" si="362"/>
        <v>16</v>
      </c>
      <c r="N595" s="307">
        <f t="shared" si="363"/>
        <v>0</v>
      </c>
      <c r="O595" s="313">
        <f t="shared" si="364"/>
        <v>55755824</v>
      </c>
      <c r="P595" s="313">
        <f t="shared" si="365"/>
        <v>0</v>
      </c>
      <c r="Q595" s="511">
        <f t="shared" si="369"/>
        <v>55755824</v>
      </c>
      <c r="R595" s="321"/>
      <c r="S595" s="533">
        <f>32+16</f>
        <v>48</v>
      </c>
      <c r="T595" s="304">
        <f t="shared" si="371"/>
        <v>3484739</v>
      </c>
      <c r="U595" s="501">
        <f t="shared" si="370"/>
        <v>167267472</v>
      </c>
    </row>
    <row r="596" spans="2:21" ht="30" customHeight="1">
      <c r="B596" s="80"/>
      <c r="C596" s="90">
        <f t="shared" si="372"/>
        <v>12.309999999999995</v>
      </c>
      <c r="D596" s="97"/>
      <c r="E596" s="97"/>
      <c r="F596" s="97"/>
      <c r="G596" s="98" t="s">
        <v>364</v>
      </c>
      <c r="H596" s="102" t="s">
        <v>202</v>
      </c>
      <c r="I596" s="275">
        <v>96</v>
      </c>
      <c r="J596" s="88">
        <v>142667</v>
      </c>
      <c r="K596" s="140">
        <f t="shared" si="361"/>
        <v>13696032</v>
      </c>
      <c r="L596" s="315"/>
      <c r="M596" s="508">
        <f t="shared" ref="M596:M623" si="373">+IF(I596&lt;S596,S596-I596,0)</f>
        <v>0</v>
      </c>
      <c r="N596" s="307">
        <f t="shared" ref="N596:N623" si="374">+IF(I596&gt;S596,-S596+I596,0)</f>
        <v>0</v>
      </c>
      <c r="O596" s="313">
        <f t="shared" ref="O596:O623" si="375">+M596*J596</f>
        <v>0</v>
      </c>
      <c r="P596" s="313">
        <f t="shared" ref="P596:P623" si="376">+N596*J596</f>
        <v>0</v>
      </c>
      <c r="Q596" s="511">
        <f t="shared" si="369"/>
        <v>0</v>
      </c>
      <c r="R596" s="321"/>
      <c r="S596" s="533">
        <v>96</v>
      </c>
      <c r="T596" s="304">
        <f t="shared" si="371"/>
        <v>142667</v>
      </c>
      <c r="U596" s="501">
        <f t="shared" si="370"/>
        <v>13696032</v>
      </c>
    </row>
    <row r="597" spans="2:21" ht="30" customHeight="1">
      <c r="B597" s="80"/>
      <c r="C597" s="90">
        <f t="shared" si="372"/>
        <v>12.319999999999995</v>
      </c>
      <c r="D597" s="97"/>
      <c r="E597" s="97"/>
      <c r="F597" s="97"/>
      <c r="G597" s="98" t="s">
        <v>365</v>
      </c>
      <c r="H597" s="102" t="s">
        <v>202</v>
      </c>
      <c r="I597" s="275">
        <v>96</v>
      </c>
      <c r="J597" s="88">
        <v>21079</v>
      </c>
      <c r="K597" s="140">
        <f t="shared" si="361"/>
        <v>2023584</v>
      </c>
      <c r="L597" s="315"/>
      <c r="M597" s="508">
        <f t="shared" si="373"/>
        <v>0</v>
      </c>
      <c r="N597" s="307">
        <f t="shared" si="374"/>
        <v>0</v>
      </c>
      <c r="O597" s="313">
        <f t="shared" si="375"/>
        <v>0</v>
      </c>
      <c r="P597" s="313">
        <f t="shared" si="376"/>
        <v>0</v>
      </c>
      <c r="Q597" s="511">
        <f t="shared" si="369"/>
        <v>0</v>
      </c>
      <c r="R597" s="321"/>
      <c r="S597" s="533">
        <v>96</v>
      </c>
      <c r="T597" s="304">
        <f t="shared" si="371"/>
        <v>21079</v>
      </c>
      <c r="U597" s="501">
        <f t="shared" si="370"/>
        <v>2023584</v>
      </c>
    </row>
    <row r="598" spans="2:21" ht="30" customHeight="1">
      <c r="B598" s="80"/>
      <c r="C598" s="90">
        <f t="shared" si="372"/>
        <v>12.329999999999995</v>
      </c>
      <c r="D598" s="97"/>
      <c r="E598" s="97"/>
      <c r="F598" s="97"/>
      <c r="G598" s="98" t="s">
        <v>366</v>
      </c>
      <c r="H598" s="102" t="s">
        <v>202</v>
      </c>
      <c r="I598" s="275">
        <v>96</v>
      </c>
      <c r="J598" s="88">
        <v>161643</v>
      </c>
      <c r="K598" s="140">
        <f t="shared" ref="K598:K623" si="377">I598*J598</f>
        <v>15517728</v>
      </c>
      <c r="L598" s="315"/>
      <c r="M598" s="508">
        <f t="shared" si="373"/>
        <v>0</v>
      </c>
      <c r="N598" s="307">
        <f t="shared" si="374"/>
        <v>0</v>
      </c>
      <c r="O598" s="313">
        <f t="shared" si="375"/>
        <v>0</v>
      </c>
      <c r="P598" s="313">
        <f t="shared" si="376"/>
        <v>0</v>
      </c>
      <c r="Q598" s="511">
        <f t="shared" si="369"/>
        <v>0</v>
      </c>
      <c r="R598" s="321"/>
      <c r="S598" s="533">
        <v>96</v>
      </c>
      <c r="T598" s="304">
        <f t="shared" si="371"/>
        <v>161643</v>
      </c>
      <c r="U598" s="501">
        <f t="shared" si="370"/>
        <v>15517728</v>
      </c>
    </row>
    <row r="599" spans="2:21" ht="30" customHeight="1">
      <c r="B599" s="80"/>
      <c r="C599" s="90">
        <f t="shared" si="372"/>
        <v>12.339999999999995</v>
      </c>
      <c r="D599" s="97"/>
      <c r="E599" s="97"/>
      <c r="F599" s="97"/>
      <c r="G599" s="98" t="s">
        <v>367</v>
      </c>
      <c r="H599" s="102" t="s">
        <v>202</v>
      </c>
      <c r="I599" s="275">
        <v>8</v>
      </c>
      <c r="J599" s="88">
        <v>1119372</v>
      </c>
      <c r="K599" s="140">
        <f t="shared" si="377"/>
        <v>8954976</v>
      </c>
      <c r="L599" s="315"/>
      <c r="M599" s="508">
        <f t="shared" si="373"/>
        <v>0</v>
      </c>
      <c r="N599" s="307">
        <f t="shared" si="374"/>
        <v>0</v>
      </c>
      <c r="O599" s="313">
        <f t="shared" si="375"/>
        <v>0</v>
      </c>
      <c r="P599" s="313">
        <f t="shared" si="376"/>
        <v>0</v>
      </c>
      <c r="Q599" s="511">
        <f t="shared" si="369"/>
        <v>0</v>
      </c>
      <c r="R599" s="321"/>
      <c r="S599" s="533">
        <v>8</v>
      </c>
      <c r="T599" s="304">
        <f t="shared" si="371"/>
        <v>1119372</v>
      </c>
      <c r="U599" s="501">
        <f t="shared" si="370"/>
        <v>8954976</v>
      </c>
    </row>
    <row r="600" spans="2:21" ht="30" customHeight="1">
      <c r="B600" s="80"/>
      <c r="C600" s="90">
        <f t="shared" si="372"/>
        <v>12.349999999999994</v>
      </c>
      <c r="D600" s="97"/>
      <c r="E600" s="97"/>
      <c r="F600" s="97"/>
      <c r="G600" s="98" t="s">
        <v>368</v>
      </c>
      <c r="H600" s="102" t="s">
        <v>202</v>
      </c>
      <c r="I600" s="275">
        <v>30</v>
      </c>
      <c r="J600" s="88">
        <v>84564</v>
      </c>
      <c r="K600" s="140">
        <f t="shared" si="377"/>
        <v>2536920</v>
      </c>
      <c r="L600" s="315"/>
      <c r="M600" s="508">
        <f t="shared" si="373"/>
        <v>0</v>
      </c>
      <c r="N600" s="307">
        <f t="shared" si="374"/>
        <v>0</v>
      </c>
      <c r="O600" s="313">
        <f t="shared" si="375"/>
        <v>0</v>
      </c>
      <c r="P600" s="313">
        <f t="shared" si="376"/>
        <v>0</v>
      </c>
      <c r="Q600" s="511">
        <f t="shared" si="369"/>
        <v>0</v>
      </c>
      <c r="R600" s="321"/>
      <c r="S600" s="533">
        <v>30</v>
      </c>
      <c r="T600" s="304">
        <f t="shared" si="371"/>
        <v>84564</v>
      </c>
      <c r="U600" s="501">
        <f t="shared" si="370"/>
        <v>2536920</v>
      </c>
    </row>
    <row r="601" spans="2:21" ht="30" customHeight="1">
      <c r="B601" s="80"/>
      <c r="C601" s="90">
        <f t="shared" si="372"/>
        <v>12.359999999999994</v>
      </c>
      <c r="D601" s="97"/>
      <c r="E601" s="97"/>
      <c r="F601" s="97"/>
      <c r="G601" s="98" t="s">
        <v>369</v>
      </c>
      <c r="H601" s="102" t="s">
        <v>202</v>
      </c>
      <c r="I601" s="275">
        <v>1</v>
      </c>
      <c r="J601" s="88">
        <v>154018635</v>
      </c>
      <c r="K601" s="140">
        <f t="shared" si="377"/>
        <v>154018635</v>
      </c>
      <c r="L601" s="315"/>
      <c r="M601" s="508">
        <f t="shared" si="373"/>
        <v>0</v>
      </c>
      <c r="N601" s="307">
        <f t="shared" si="374"/>
        <v>0</v>
      </c>
      <c r="O601" s="313">
        <f t="shared" si="375"/>
        <v>0</v>
      </c>
      <c r="P601" s="313">
        <f t="shared" si="376"/>
        <v>0</v>
      </c>
      <c r="Q601" s="511">
        <f t="shared" si="369"/>
        <v>0</v>
      </c>
      <c r="R601" s="321"/>
      <c r="S601" s="533">
        <v>1</v>
      </c>
      <c r="T601" s="304">
        <f t="shared" si="371"/>
        <v>154018635</v>
      </c>
      <c r="U601" s="501">
        <f t="shared" si="370"/>
        <v>154018635</v>
      </c>
    </row>
    <row r="602" spans="2:21" ht="30" customHeight="1">
      <c r="B602" s="80"/>
      <c r="C602" s="90">
        <f t="shared" si="372"/>
        <v>12.369999999999994</v>
      </c>
      <c r="D602" s="97"/>
      <c r="E602" s="97"/>
      <c r="F602" s="97"/>
      <c r="G602" s="98" t="s">
        <v>370</v>
      </c>
      <c r="H602" s="102" t="s">
        <v>65</v>
      </c>
      <c r="I602" s="275">
        <v>120</v>
      </c>
      <c r="J602" s="88">
        <v>793607</v>
      </c>
      <c r="K602" s="140">
        <f t="shared" si="377"/>
        <v>95232840</v>
      </c>
      <c r="L602" s="315"/>
      <c r="M602" s="508">
        <f t="shared" si="373"/>
        <v>75</v>
      </c>
      <c r="N602" s="307">
        <f t="shared" si="374"/>
        <v>0</v>
      </c>
      <c r="O602" s="313">
        <f t="shared" si="375"/>
        <v>59520525</v>
      </c>
      <c r="P602" s="313">
        <f t="shared" si="376"/>
        <v>0</v>
      </c>
      <c r="Q602" s="511">
        <f t="shared" si="369"/>
        <v>59520525</v>
      </c>
      <c r="R602" s="321"/>
      <c r="S602" s="533">
        <v>195</v>
      </c>
      <c r="T602" s="304">
        <f t="shared" si="371"/>
        <v>793607</v>
      </c>
      <c r="U602" s="501">
        <f t="shared" si="370"/>
        <v>154753365</v>
      </c>
    </row>
    <row r="603" spans="2:21" ht="30" customHeight="1">
      <c r="B603" s="80"/>
      <c r="C603" s="90">
        <f t="shared" si="372"/>
        <v>12.379999999999994</v>
      </c>
      <c r="D603" s="97"/>
      <c r="E603" s="97"/>
      <c r="F603" s="97"/>
      <c r="G603" s="98" t="s">
        <v>371</v>
      </c>
      <c r="H603" s="102" t="s">
        <v>202</v>
      </c>
      <c r="I603" s="275">
        <v>30</v>
      </c>
      <c r="J603" s="88">
        <v>45527</v>
      </c>
      <c r="K603" s="140">
        <f t="shared" si="377"/>
        <v>1365810</v>
      </c>
      <c r="L603" s="315"/>
      <c r="M603" s="508">
        <f t="shared" si="373"/>
        <v>0</v>
      </c>
      <c r="N603" s="307">
        <f t="shared" si="374"/>
        <v>0</v>
      </c>
      <c r="O603" s="313">
        <f t="shared" si="375"/>
        <v>0</v>
      </c>
      <c r="P603" s="313">
        <f t="shared" si="376"/>
        <v>0</v>
      </c>
      <c r="Q603" s="511">
        <f t="shared" si="369"/>
        <v>0</v>
      </c>
      <c r="R603" s="321"/>
      <c r="S603" s="533">
        <v>30</v>
      </c>
      <c r="T603" s="304">
        <f t="shared" si="371"/>
        <v>45527</v>
      </c>
      <c r="U603" s="501">
        <f t="shared" si="370"/>
        <v>1365810</v>
      </c>
    </row>
    <row r="604" spans="2:21" ht="30" customHeight="1">
      <c r="B604" s="80"/>
      <c r="C604" s="90">
        <f t="shared" si="372"/>
        <v>12.389999999999993</v>
      </c>
      <c r="D604" s="97"/>
      <c r="E604" s="97"/>
      <c r="F604" s="97"/>
      <c r="G604" s="98" t="s">
        <v>372</v>
      </c>
      <c r="H604" s="102" t="s">
        <v>202</v>
      </c>
      <c r="I604" s="275">
        <v>1</v>
      </c>
      <c r="J604" s="88">
        <v>3273966</v>
      </c>
      <c r="K604" s="140">
        <f t="shared" si="377"/>
        <v>3273966</v>
      </c>
      <c r="L604" s="315"/>
      <c r="M604" s="508">
        <f t="shared" si="373"/>
        <v>0</v>
      </c>
      <c r="N604" s="307">
        <f t="shared" si="374"/>
        <v>0</v>
      </c>
      <c r="O604" s="313">
        <f t="shared" si="375"/>
        <v>0</v>
      </c>
      <c r="P604" s="313">
        <f t="shared" si="376"/>
        <v>0</v>
      </c>
      <c r="Q604" s="511">
        <f t="shared" si="369"/>
        <v>0</v>
      </c>
      <c r="R604" s="321"/>
      <c r="S604" s="533">
        <v>1</v>
      </c>
      <c r="T604" s="304">
        <f t="shared" si="371"/>
        <v>3273966</v>
      </c>
      <c r="U604" s="501">
        <f t="shared" si="370"/>
        <v>3273966</v>
      </c>
    </row>
    <row r="605" spans="2:21" ht="85.5" customHeight="1">
      <c r="B605" s="80"/>
      <c r="C605" s="90">
        <f t="shared" si="372"/>
        <v>12.399999999999993</v>
      </c>
      <c r="D605" s="97"/>
      <c r="E605" s="97"/>
      <c r="F605" s="97"/>
      <c r="G605" s="98" t="s">
        <v>373</v>
      </c>
      <c r="H605" s="102" t="s">
        <v>65</v>
      </c>
      <c r="I605" s="275">
        <v>80</v>
      </c>
      <c r="J605" s="88">
        <v>478733</v>
      </c>
      <c r="K605" s="140">
        <f t="shared" si="377"/>
        <v>38298640</v>
      </c>
      <c r="L605" s="315"/>
      <c r="M605" s="508">
        <f t="shared" si="373"/>
        <v>118</v>
      </c>
      <c r="N605" s="307">
        <f t="shared" si="374"/>
        <v>0</v>
      </c>
      <c r="O605" s="313">
        <f t="shared" si="375"/>
        <v>56490494</v>
      </c>
      <c r="P605" s="313">
        <f t="shared" si="376"/>
        <v>0</v>
      </c>
      <c r="Q605" s="511">
        <f t="shared" si="369"/>
        <v>56490494</v>
      </c>
      <c r="R605" s="321"/>
      <c r="S605" s="533">
        <v>198</v>
      </c>
      <c r="T605" s="304">
        <f t="shared" si="371"/>
        <v>478733</v>
      </c>
      <c r="U605" s="501">
        <f t="shared" si="370"/>
        <v>94789134</v>
      </c>
    </row>
    <row r="606" spans="2:21" ht="30" customHeight="1">
      <c r="B606" s="80"/>
      <c r="C606" s="90">
        <f t="shared" si="372"/>
        <v>12.409999999999993</v>
      </c>
      <c r="D606" s="97"/>
      <c r="E606" s="97"/>
      <c r="F606" s="97"/>
      <c r="G606" s="98" t="s">
        <v>374</v>
      </c>
      <c r="H606" s="102" t="s">
        <v>202</v>
      </c>
      <c r="I606" s="275">
        <v>1</v>
      </c>
      <c r="J606" s="88">
        <v>28673108</v>
      </c>
      <c r="K606" s="140">
        <f t="shared" si="377"/>
        <v>28673108</v>
      </c>
      <c r="L606" s="315"/>
      <c r="M606" s="508">
        <f t="shared" si="373"/>
        <v>0</v>
      </c>
      <c r="N606" s="307">
        <f t="shared" si="374"/>
        <v>0</v>
      </c>
      <c r="O606" s="313">
        <f t="shared" si="375"/>
        <v>0</v>
      </c>
      <c r="P606" s="313">
        <f t="shared" si="376"/>
        <v>0</v>
      </c>
      <c r="Q606" s="511">
        <f t="shared" si="369"/>
        <v>0</v>
      </c>
      <c r="R606" s="321"/>
      <c r="S606" s="533">
        <v>1</v>
      </c>
      <c r="T606" s="304">
        <f t="shared" si="371"/>
        <v>28673108</v>
      </c>
      <c r="U606" s="501">
        <f t="shared" si="370"/>
        <v>28673108</v>
      </c>
    </row>
    <row r="607" spans="2:21" ht="30" customHeight="1">
      <c r="B607" s="80"/>
      <c r="C607" s="90">
        <f t="shared" si="372"/>
        <v>12.419999999999993</v>
      </c>
      <c r="D607" s="97"/>
      <c r="E607" s="97"/>
      <c r="F607" s="97"/>
      <c r="G607" s="98" t="s">
        <v>375</v>
      </c>
      <c r="H607" s="102" t="s">
        <v>202</v>
      </c>
      <c r="I607" s="275">
        <v>1</v>
      </c>
      <c r="J607" s="114">
        <v>20304904</v>
      </c>
      <c r="K607" s="140">
        <f t="shared" si="377"/>
        <v>20304904</v>
      </c>
      <c r="L607" s="315"/>
      <c r="M607" s="508">
        <f t="shared" si="373"/>
        <v>0</v>
      </c>
      <c r="N607" s="307">
        <f t="shared" si="374"/>
        <v>0</v>
      </c>
      <c r="O607" s="313">
        <f t="shared" si="375"/>
        <v>0</v>
      </c>
      <c r="P607" s="313">
        <f t="shared" si="376"/>
        <v>0</v>
      </c>
      <c r="Q607" s="511">
        <f t="shared" si="369"/>
        <v>0</v>
      </c>
      <c r="R607" s="321"/>
      <c r="S607" s="533">
        <v>1</v>
      </c>
      <c r="T607" s="304">
        <f t="shared" si="371"/>
        <v>20304904</v>
      </c>
      <c r="U607" s="501">
        <f t="shared" si="370"/>
        <v>20304904</v>
      </c>
    </row>
    <row r="608" spans="2:21" ht="56.25" customHeight="1">
      <c r="B608" s="80"/>
      <c r="C608" s="90">
        <f t="shared" si="372"/>
        <v>12.429999999999993</v>
      </c>
      <c r="D608" s="97"/>
      <c r="E608" s="97"/>
      <c r="F608" s="97"/>
      <c r="G608" s="198" t="s">
        <v>376</v>
      </c>
      <c r="H608" s="102" t="s">
        <v>202</v>
      </c>
      <c r="I608" s="275">
        <v>1</v>
      </c>
      <c r="J608" s="88">
        <v>48851114</v>
      </c>
      <c r="K608" s="140">
        <f t="shared" si="377"/>
        <v>48851114</v>
      </c>
      <c r="L608" s="315"/>
      <c r="M608" s="508">
        <f t="shared" si="373"/>
        <v>0</v>
      </c>
      <c r="N608" s="307">
        <f t="shared" si="374"/>
        <v>0</v>
      </c>
      <c r="O608" s="313">
        <f t="shared" si="375"/>
        <v>0</v>
      </c>
      <c r="P608" s="313">
        <f t="shared" si="376"/>
        <v>0</v>
      </c>
      <c r="Q608" s="511">
        <f t="shared" si="369"/>
        <v>0</v>
      </c>
      <c r="R608" s="321"/>
      <c r="S608" s="533">
        <v>1</v>
      </c>
      <c r="T608" s="304">
        <f t="shared" ref="T608:T623" si="378">+J608</f>
        <v>48851114</v>
      </c>
      <c r="U608" s="501">
        <f t="shared" si="370"/>
        <v>48851114</v>
      </c>
    </row>
    <row r="609" spans="2:22" ht="30" customHeight="1">
      <c r="B609" s="80"/>
      <c r="C609" s="90">
        <f t="shared" si="372"/>
        <v>12.439999999999992</v>
      </c>
      <c r="D609" s="97"/>
      <c r="E609" s="97"/>
      <c r="F609" s="97"/>
      <c r="G609" s="98" t="s">
        <v>377</v>
      </c>
      <c r="H609" s="102" t="s">
        <v>65</v>
      </c>
      <c r="I609" s="275">
        <v>160</v>
      </c>
      <c r="J609" s="88">
        <v>181233</v>
      </c>
      <c r="K609" s="140">
        <f t="shared" si="377"/>
        <v>28997280</v>
      </c>
      <c r="L609" s="315"/>
      <c r="M609" s="508">
        <f t="shared" si="373"/>
        <v>0</v>
      </c>
      <c r="N609" s="307">
        <f t="shared" si="374"/>
        <v>160</v>
      </c>
      <c r="O609" s="313">
        <f t="shared" si="375"/>
        <v>0</v>
      </c>
      <c r="P609" s="313">
        <f t="shared" si="376"/>
        <v>28997280</v>
      </c>
      <c r="Q609" s="511">
        <f t="shared" si="369"/>
        <v>-28997280</v>
      </c>
      <c r="R609" s="321"/>
      <c r="S609" s="533">
        <v>0</v>
      </c>
      <c r="T609" s="304">
        <f t="shared" si="378"/>
        <v>181233</v>
      </c>
      <c r="U609" s="501">
        <f t="shared" si="370"/>
        <v>0</v>
      </c>
    </row>
    <row r="610" spans="2:22" ht="30" customHeight="1">
      <c r="B610" s="80"/>
      <c r="C610" s="90">
        <f t="shared" si="372"/>
        <v>12.449999999999992</v>
      </c>
      <c r="D610" s="97"/>
      <c r="E610" s="97"/>
      <c r="F610" s="97"/>
      <c r="G610" s="98" t="s">
        <v>378</v>
      </c>
      <c r="H610" s="102" t="s">
        <v>202</v>
      </c>
      <c r="I610" s="275">
        <v>1</v>
      </c>
      <c r="J610" s="88">
        <v>17638833</v>
      </c>
      <c r="K610" s="140">
        <f t="shared" si="377"/>
        <v>17638833</v>
      </c>
      <c r="L610" s="315"/>
      <c r="M610" s="508">
        <f t="shared" si="373"/>
        <v>0</v>
      </c>
      <c r="N610" s="307">
        <f t="shared" si="374"/>
        <v>0</v>
      </c>
      <c r="O610" s="313">
        <f t="shared" si="375"/>
        <v>0</v>
      </c>
      <c r="P610" s="313">
        <f t="shared" si="376"/>
        <v>0</v>
      </c>
      <c r="Q610" s="511">
        <f t="shared" si="369"/>
        <v>0</v>
      </c>
      <c r="R610" s="321"/>
      <c r="S610" s="533">
        <v>1</v>
      </c>
      <c r="T610" s="304">
        <f t="shared" si="378"/>
        <v>17638833</v>
      </c>
      <c r="U610" s="501">
        <f t="shared" si="370"/>
        <v>17638833</v>
      </c>
    </row>
    <row r="611" spans="2:22" ht="30" customHeight="1">
      <c r="B611" s="80"/>
      <c r="C611" s="90">
        <f t="shared" si="372"/>
        <v>12.459999999999992</v>
      </c>
      <c r="D611" s="97"/>
      <c r="E611" s="97"/>
      <c r="F611" s="97"/>
      <c r="G611" s="98" t="s">
        <v>252</v>
      </c>
      <c r="H611" s="102" t="s">
        <v>202</v>
      </c>
      <c r="I611" s="275">
        <v>1</v>
      </c>
      <c r="J611" s="88">
        <v>13486581</v>
      </c>
      <c r="K611" s="140">
        <f t="shared" si="377"/>
        <v>13486581</v>
      </c>
      <c r="L611" s="315"/>
      <c r="M611" s="508">
        <f t="shared" si="373"/>
        <v>0</v>
      </c>
      <c r="N611" s="307">
        <f t="shared" si="374"/>
        <v>0</v>
      </c>
      <c r="O611" s="313">
        <f t="shared" si="375"/>
        <v>0</v>
      </c>
      <c r="P611" s="313">
        <f t="shared" si="376"/>
        <v>0</v>
      </c>
      <c r="Q611" s="511">
        <f t="shared" si="369"/>
        <v>0</v>
      </c>
      <c r="R611" s="321"/>
      <c r="S611" s="533">
        <v>1</v>
      </c>
      <c r="T611" s="304">
        <f t="shared" si="378"/>
        <v>13486581</v>
      </c>
      <c r="U611" s="501">
        <f t="shared" si="370"/>
        <v>13486581</v>
      </c>
    </row>
    <row r="612" spans="2:22" ht="30" customHeight="1">
      <c r="B612" s="80"/>
      <c r="C612" s="90">
        <f t="shared" si="372"/>
        <v>12.469999999999992</v>
      </c>
      <c r="D612" s="97"/>
      <c r="E612" s="97"/>
      <c r="F612" s="97"/>
      <c r="G612" s="98" t="s">
        <v>379</v>
      </c>
      <c r="H612" s="102" t="s">
        <v>202</v>
      </c>
      <c r="I612" s="275">
        <v>1</v>
      </c>
      <c r="J612" s="88">
        <v>14233862</v>
      </c>
      <c r="K612" s="140">
        <f t="shared" si="377"/>
        <v>14233862</v>
      </c>
      <c r="L612" s="315"/>
      <c r="M612" s="508">
        <f t="shared" si="373"/>
        <v>0</v>
      </c>
      <c r="N612" s="307">
        <f t="shared" si="374"/>
        <v>0</v>
      </c>
      <c r="O612" s="313">
        <f t="shared" si="375"/>
        <v>0</v>
      </c>
      <c r="P612" s="313">
        <f t="shared" si="376"/>
        <v>0</v>
      </c>
      <c r="Q612" s="511">
        <f t="shared" si="369"/>
        <v>0</v>
      </c>
      <c r="R612" s="321"/>
      <c r="S612" s="533">
        <v>1</v>
      </c>
      <c r="T612" s="304">
        <f t="shared" si="378"/>
        <v>14233862</v>
      </c>
      <c r="U612" s="501">
        <f t="shared" si="370"/>
        <v>14233862</v>
      </c>
    </row>
    <row r="613" spans="2:22" ht="30" customHeight="1">
      <c r="B613" s="80"/>
      <c r="C613" s="90">
        <f t="shared" si="372"/>
        <v>12.479999999999992</v>
      </c>
      <c r="D613" s="97"/>
      <c r="E613" s="97"/>
      <c r="F613" s="97"/>
      <c r="G613" s="98" t="s">
        <v>380</v>
      </c>
      <c r="H613" s="102" t="s">
        <v>202</v>
      </c>
      <c r="I613" s="275">
        <v>1</v>
      </c>
      <c r="J613" s="88">
        <v>44622256</v>
      </c>
      <c r="K613" s="140">
        <f t="shared" si="377"/>
        <v>44622256</v>
      </c>
      <c r="L613" s="315"/>
      <c r="M613" s="508">
        <f t="shared" si="373"/>
        <v>0</v>
      </c>
      <c r="N613" s="307">
        <f t="shared" si="374"/>
        <v>0</v>
      </c>
      <c r="O613" s="313">
        <f t="shared" si="375"/>
        <v>0</v>
      </c>
      <c r="P613" s="313">
        <f t="shared" si="376"/>
        <v>0</v>
      </c>
      <c r="Q613" s="511">
        <f t="shared" si="369"/>
        <v>0</v>
      </c>
      <c r="R613" s="321"/>
      <c r="S613" s="533">
        <v>1</v>
      </c>
      <c r="T613" s="304">
        <f t="shared" si="378"/>
        <v>44622256</v>
      </c>
      <c r="U613" s="501">
        <f t="shared" si="370"/>
        <v>44622256</v>
      </c>
    </row>
    <row r="614" spans="2:22" ht="30" customHeight="1">
      <c r="B614" s="80"/>
      <c r="C614" s="90">
        <f t="shared" si="372"/>
        <v>12.489999999999991</v>
      </c>
      <c r="D614" s="97"/>
      <c r="E614" s="97"/>
      <c r="F614" s="97"/>
      <c r="G614" s="98" t="s">
        <v>381</v>
      </c>
      <c r="H614" s="102" t="s">
        <v>202</v>
      </c>
      <c r="I614" s="275">
        <v>1</v>
      </c>
      <c r="J614" s="88">
        <v>35982457</v>
      </c>
      <c r="K614" s="140">
        <f t="shared" si="377"/>
        <v>35982457</v>
      </c>
      <c r="L614" s="315"/>
      <c r="M614" s="508">
        <f t="shared" si="373"/>
        <v>0</v>
      </c>
      <c r="N614" s="307">
        <f t="shared" si="374"/>
        <v>0</v>
      </c>
      <c r="O614" s="313">
        <f t="shared" si="375"/>
        <v>0</v>
      </c>
      <c r="P614" s="313">
        <f t="shared" si="376"/>
        <v>0</v>
      </c>
      <c r="Q614" s="511">
        <f t="shared" si="369"/>
        <v>0</v>
      </c>
      <c r="R614" s="321"/>
      <c r="S614" s="533">
        <v>1</v>
      </c>
      <c r="T614" s="304">
        <f t="shared" si="378"/>
        <v>35982457</v>
      </c>
      <c r="U614" s="501">
        <f t="shared" si="370"/>
        <v>35982457</v>
      </c>
    </row>
    <row r="615" spans="2:22" ht="30" customHeight="1">
      <c r="B615" s="80"/>
      <c r="C615" s="90">
        <f t="shared" si="372"/>
        <v>12.499999999999991</v>
      </c>
      <c r="D615" s="97"/>
      <c r="E615" s="97"/>
      <c r="F615" s="97"/>
      <c r="G615" s="98" t="s">
        <v>382</v>
      </c>
      <c r="H615" s="102" t="s">
        <v>202</v>
      </c>
      <c r="I615" s="275">
        <v>1</v>
      </c>
      <c r="J615" s="88">
        <v>32484696</v>
      </c>
      <c r="K615" s="140">
        <f t="shared" si="377"/>
        <v>32484696</v>
      </c>
      <c r="L615" s="315"/>
      <c r="M615" s="508">
        <f t="shared" si="373"/>
        <v>0</v>
      </c>
      <c r="N615" s="307">
        <f t="shared" si="374"/>
        <v>0</v>
      </c>
      <c r="O615" s="313">
        <f t="shared" si="375"/>
        <v>0</v>
      </c>
      <c r="P615" s="313">
        <f t="shared" si="376"/>
        <v>0</v>
      </c>
      <c r="Q615" s="511">
        <f t="shared" si="369"/>
        <v>0</v>
      </c>
      <c r="R615" s="321"/>
      <c r="S615" s="533">
        <v>1</v>
      </c>
      <c r="T615" s="304">
        <f t="shared" si="378"/>
        <v>32484696</v>
      </c>
      <c r="U615" s="501">
        <f t="shared" si="370"/>
        <v>32484696</v>
      </c>
    </row>
    <row r="616" spans="2:22" ht="30" customHeight="1">
      <c r="B616" s="80"/>
      <c r="C616" s="90">
        <f t="shared" si="372"/>
        <v>12.509999999999991</v>
      </c>
      <c r="D616" s="97"/>
      <c r="E616" s="97"/>
      <c r="F616" s="97"/>
      <c r="G616" s="98" t="s">
        <v>383</v>
      </c>
      <c r="H616" s="102" t="s">
        <v>202</v>
      </c>
      <c r="I616" s="275">
        <v>1</v>
      </c>
      <c r="J616" s="88">
        <v>18620863</v>
      </c>
      <c r="K616" s="140">
        <f t="shared" si="377"/>
        <v>18620863</v>
      </c>
      <c r="L616" s="315"/>
      <c r="M616" s="508">
        <f t="shared" si="373"/>
        <v>0</v>
      </c>
      <c r="N616" s="307">
        <f t="shared" si="374"/>
        <v>1</v>
      </c>
      <c r="O616" s="313">
        <f t="shared" si="375"/>
        <v>0</v>
      </c>
      <c r="P616" s="313">
        <f t="shared" si="376"/>
        <v>18620863</v>
      </c>
      <c r="Q616" s="511">
        <f t="shared" si="369"/>
        <v>-18620863</v>
      </c>
      <c r="R616" s="321"/>
      <c r="S616" s="533">
        <v>0</v>
      </c>
      <c r="T616" s="304">
        <f t="shared" si="378"/>
        <v>18620863</v>
      </c>
      <c r="U616" s="501">
        <f t="shared" si="370"/>
        <v>0</v>
      </c>
    </row>
    <row r="617" spans="2:22" ht="30" customHeight="1">
      <c r="B617" s="80"/>
      <c r="C617" s="90">
        <f t="shared" si="372"/>
        <v>12.519999999999991</v>
      </c>
      <c r="D617" s="97"/>
      <c r="E617" s="97"/>
      <c r="F617" s="97"/>
      <c r="G617" s="98" t="s">
        <v>258</v>
      </c>
      <c r="H617" s="102" t="s">
        <v>202</v>
      </c>
      <c r="I617" s="275">
        <v>2</v>
      </c>
      <c r="J617" s="88">
        <v>1881231</v>
      </c>
      <c r="K617" s="140">
        <f t="shared" si="377"/>
        <v>3762462</v>
      </c>
      <c r="L617" s="315"/>
      <c r="M617" s="508">
        <f t="shared" si="373"/>
        <v>6</v>
      </c>
      <c r="N617" s="307">
        <f t="shared" si="374"/>
        <v>0</v>
      </c>
      <c r="O617" s="313">
        <f t="shared" si="375"/>
        <v>11287386</v>
      </c>
      <c r="P617" s="313">
        <f t="shared" si="376"/>
        <v>0</v>
      </c>
      <c r="Q617" s="511">
        <f t="shared" si="369"/>
        <v>11287386</v>
      </c>
      <c r="R617" s="321"/>
      <c r="S617" s="533">
        <v>8</v>
      </c>
      <c r="T617" s="304">
        <f t="shared" si="378"/>
        <v>1881231</v>
      </c>
      <c r="U617" s="501">
        <f t="shared" si="370"/>
        <v>15049848</v>
      </c>
    </row>
    <row r="618" spans="2:22" ht="30" customHeight="1">
      <c r="B618" s="80"/>
      <c r="C618" s="90">
        <f t="shared" si="372"/>
        <v>12.52999999999999</v>
      </c>
      <c r="D618" s="97"/>
      <c r="E618" s="97"/>
      <c r="F618" s="97"/>
      <c r="G618" s="98" t="s">
        <v>259</v>
      </c>
      <c r="H618" s="102" t="s">
        <v>202</v>
      </c>
      <c r="I618" s="275">
        <v>1</v>
      </c>
      <c r="J618" s="88">
        <v>392160</v>
      </c>
      <c r="K618" s="140">
        <f t="shared" si="377"/>
        <v>392160</v>
      </c>
      <c r="L618" s="315"/>
      <c r="M618" s="508">
        <f t="shared" si="373"/>
        <v>3</v>
      </c>
      <c r="N618" s="307">
        <f t="shared" si="374"/>
        <v>0</v>
      </c>
      <c r="O618" s="313">
        <f t="shared" si="375"/>
        <v>1176480</v>
      </c>
      <c r="P618" s="313">
        <f t="shared" si="376"/>
        <v>0</v>
      </c>
      <c r="Q618" s="511">
        <f t="shared" si="369"/>
        <v>1176480</v>
      </c>
      <c r="R618" s="321"/>
      <c r="S618" s="533">
        <v>4</v>
      </c>
      <c r="T618" s="304">
        <f t="shared" si="378"/>
        <v>392160</v>
      </c>
      <c r="U618" s="501">
        <f t="shared" si="370"/>
        <v>1568640</v>
      </c>
    </row>
    <row r="619" spans="2:22" ht="30" customHeight="1">
      <c r="B619" s="80"/>
      <c r="C619" s="90">
        <f t="shared" si="372"/>
        <v>12.53999999999999</v>
      </c>
      <c r="D619" s="97"/>
      <c r="E619" s="97"/>
      <c r="F619" s="97"/>
      <c r="G619" s="98" t="s">
        <v>384</v>
      </c>
      <c r="H619" s="102" t="s">
        <v>65</v>
      </c>
      <c r="I619" s="275">
        <v>1254</v>
      </c>
      <c r="J619" s="88">
        <v>31562</v>
      </c>
      <c r="K619" s="140">
        <f t="shared" si="377"/>
        <v>39578748</v>
      </c>
      <c r="L619" s="315"/>
      <c r="M619" s="508">
        <f t="shared" si="373"/>
        <v>500</v>
      </c>
      <c r="N619" s="307">
        <f t="shared" si="374"/>
        <v>0</v>
      </c>
      <c r="O619" s="313">
        <f t="shared" si="375"/>
        <v>15781000</v>
      </c>
      <c r="P619" s="313">
        <f t="shared" si="376"/>
        <v>0</v>
      </c>
      <c r="Q619" s="511">
        <f t="shared" si="369"/>
        <v>15781000</v>
      </c>
      <c r="R619" s="321"/>
      <c r="S619" s="533">
        <v>1754</v>
      </c>
      <c r="T619" s="304">
        <f t="shared" si="378"/>
        <v>31562</v>
      </c>
      <c r="U619" s="501">
        <f t="shared" si="370"/>
        <v>55359748</v>
      </c>
    </row>
    <row r="620" spans="2:22" ht="30" customHeight="1">
      <c r="B620" s="80"/>
      <c r="C620" s="90">
        <f t="shared" si="372"/>
        <v>12.54999999999999</v>
      </c>
      <c r="D620" s="97"/>
      <c r="E620" s="97"/>
      <c r="F620" s="97"/>
      <c r="G620" s="98" t="s">
        <v>261</v>
      </c>
      <c r="H620" s="102" t="s">
        <v>202</v>
      </c>
      <c r="I620" s="275">
        <v>1</v>
      </c>
      <c r="J620" s="88">
        <v>2355601</v>
      </c>
      <c r="K620" s="140">
        <f t="shared" si="377"/>
        <v>2355601</v>
      </c>
      <c r="L620" s="315"/>
      <c r="M620" s="508">
        <f t="shared" si="373"/>
        <v>0</v>
      </c>
      <c r="N620" s="307">
        <f t="shared" si="374"/>
        <v>0</v>
      </c>
      <c r="O620" s="313">
        <f t="shared" si="375"/>
        <v>0</v>
      </c>
      <c r="P620" s="313">
        <f t="shared" si="376"/>
        <v>0</v>
      </c>
      <c r="Q620" s="511">
        <f t="shared" si="369"/>
        <v>0</v>
      </c>
      <c r="R620" s="321"/>
      <c r="S620" s="533">
        <v>1</v>
      </c>
      <c r="T620" s="304">
        <f t="shared" si="378"/>
        <v>2355601</v>
      </c>
      <c r="U620" s="501">
        <f t="shared" si="370"/>
        <v>2355601</v>
      </c>
    </row>
    <row r="621" spans="2:22" ht="30" customHeight="1">
      <c r="B621" s="80"/>
      <c r="C621" s="90">
        <f t="shared" si="372"/>
        <v>12.55999999999999</v>
      </c>
      <c r="D621" s="97"/>
      <c r="E621" s="97"/>
      <c r="F621" s="97"/>
      <c r="G621" s="98" t="s">
        <v>385</v>
      </c>
      <c r="H621" s="102" t="s">
        <v>202</v>
      </c>
      <c r="I621" s="275">
        <v>1</v>
      </c>
      <c r="J621" s="88">
        <v>13002555</v>
      </c>
      <c r="K621" s="140">
        <f t="shared" si="377"/>
        <v>13002555</v>
      </c>
      <c r="L621" s="315"/>
      <c r="M621" s="508">
        <f t="shared" si="373"/>
        <v>0</v>
      </c>
      <c r="N621" s="307">
        <f t="shared" si="374"/>
        <v>0</v>
      </c>
      <c r="O621" s="313">
        <f t="shared" si="375"/>
        <v>0</v>
      </c>
      <c r="P621" s="313">
        <f t="shared" si="376"/>
        <v>0</v>
      </c>
      <c r="Q621" s="511">
        <f t="shared" si="369"/>
        <v>0</v>
      </c>
      <c r="R621" s="321"/>
      <c r="S621" s="533">
        <v>1</v>
      </c>
      <c r="T621" s="304">
        <f t="shared" si="378"/>
        <v>13002555</v>
      </c>
      <c r="U621" s="501">
        <f t="shared" si="370"/>
        <v>13002555</v>
      </c>
    </row>
    <row r="622" spans="2:22" ht="30" customHeight="1">
      <c r="B622" s="80"/>
      <c r="C622" s="90">
        <f t="shared" si="372"/>
        <v>12.56999999999999</v>
      </c>
      <c r="D622" s="97"/>
      <c r="E622" s="97"/>
      <c r="F622" s="97"/>
      <c r="G622" s="98" t="s">
        <v>263</v>
      </c>
      <c r="H622" s="102" t="s">
        <v>202</v>
      </c>
      <c r="I622" s="275">
        <v>1</v>
      </c>
      <c r="J622" s="88">
        <v>37276568</v>
      </c>
      <c r="K622" s="140">
        <f t="shared" si="377"/>
        <v>37276568</v>
      </c>
      <c r="L622" s="315"/>
      <c r="M622" s="508">
        <f t="shared" si="373"/>
        <v>0</v>
      </c>
      <c r="N622" s="307">
        <f t="shared" si="374"/>
        <v>0</v>
      </c>
      <c r="O622" s="313">
        <f t="shared" si="375"/>
        <v>0</v>
      </c>
      <c r="P622" s="313">
        <f t="shared" si="376"/>
        <v>0</v>
      </c>
      <c r="Q622" s="511">
        <f t="shared" si="369"/>
        <v>0</v>
      </c>
      <c r="R622" s="321"/>
      <c r="S622" s="533">
        <v>1</v>
      </c>
      <c r="T622" s="304">
        <f t="shared" si="378"/>
        <v>37276568</v>
      </c>
      <c r="U622" s="501">
        <f t="shared" si="370"/>
        <v>37276568</v>
      </c>
    </row>
    <row r="623" spans="2:22" ht="30" customHeight="1">
      <c r="B623" s="80"/>
      <c r="C623" s="90">
        <f t="shared" si="372"/>
        <v>12.579999999999989</v>
      </c>
      <c r="D623" s="97"/>
      <c r="E623" s="97"/>
      <c r="F623" s="97"/>
      <c r="G623" s="98" t="s">
        <v>264</v>
      </c>
      <c r="H623" s="102" t="s">
        <v>202</v>
      </c>
      <c r="I623" s="275">
        <v>1</v>
      </c>
      <c r="J623" s="88">
        <v>25312624</v>
      </c>
      <c r="K623" s="140">
        <f t="shared" si="377"/>
        <v>25312624</v>
      </c>
      <c r="L623" s="315"/>
      <c r="M623" s="508">
        <f t="shared" si="373"/>
        <v>0</v>
      </c>
      <c r="N623" s="307">
        <f t="shared" si="374"/>
        <v>0</v>
      </c>
      <c r="O623" s="313">
        <f t="shared" si="375"/>
        <v>0</v>
      </c>
      <c r="P623" s="313">
        <f t="shared" si="376"/>
        <v>0</v>
      </c>
      <c r="Q623" s="511">
        <f t="shared" si="369"/>
        <v>0</v>
      </c>
      <c r="R623" s="321"/>
      <c r="S623" s="533">
        <v>1</v>
      </c>
      <c r="T623" s="304">
        <f t="shared" si="378"/>
        <v>25312624</v>
      </c>
      <c r="U623" s="501">
        <f t="shared" si="370"/>
        <v>25312624</v>
      </c>
    </row>
    <row r="624" spans="2:22" ht="30" customHeight="1" thickBot="1">
      <c r="B624" s="80"/>
      <c r="C624" s="103" t="s">
        <v>8</v>
      </c>
      <c r="D624" s="592"/>
      <c r="E624" s="592"/>
      <c r="F624" s="592"/>
      <c r="G624" s="534"/>
      <c r="H624" s="535"/>
      <c r="I624" s="507"/>
      <c r="J624" s="536"/>
      <c r="K624" s="306">
        <f>SUM(K566:K623)</f>
        <v>3548202814</v>
      </c>
      <c r="L624" s="325"/>
      <c r="M624" s="508"/>
      <c r="N624" s="307"/>
      <c r="O624" s="308">
        <f>SUM(O566:O623)</f>
        <v>427460137</v>
      </c>
      <c r="P624" s="308">
        <f>SUM(P566:P623)</f>
        <v>338354346</v>
      </c>
      <c r="Q624" s="308">
        <f>SUM(Q566:Q623)</f>
        <v>89105791</v>
      </c>
      <c r="R624" s="327"/>
      <c r="S624" s="537"/>
      <c r="T624" s="305"/>
      <c r="U624" s="538">
        <f>SUM(U566:U623)</f>
        <v>3637308605</v>
      </c>
      <c r="V624" s="112"/>
    </row>
    <row r="625" spans="2:22" ht="30" customHeight="1" thickBot="1">
      <c r="B625" s="80"/>
      <c r="C625" s="886" t="s">
        <v>265</v>
      </c>
      <c r="D625" s="887"/>
      <c r="E625" s="887"/>
      <c r="F625" s="887"/>
      <c r="G625" s="887"/>
      <c r="H625" s="887"/>
      <c r="I625" s="887"/>
      <c r="J625" s="887"/>
      <c r="K625" s="920"/>
      <c r="L625" s="889"/>
      <c r="M625" s="920"/>
      <c r="N625" s="920"/>
      <c r="O625" s="920"/>
      <c r="P625" s="920"/>
      <c r="Q625" s="920"/>
      <c r="R625" s="589"/>
      <c r="S625" s="589"/>
      <c r="T625" s="589"/>
      <c r="U625" s="500"/>
    </row>
    <row r="626" spans="2:22" ht="30" customHeight="1">
      <c r="B626" s="80"/>
      <c r="C626" s="84">
        <v>13.1</v>
      </c>
      <c r="D626" s="251"/>
      <c r="E626" s="251"/>
      <c r="F626" s="251"/>
      <c r="G626" s="252" t="s">
        <v>266</v>
      </c>
      <c r="H626" s="251" t="s">
        <v>267</v>
      </c>
      <c r="I626" s="249">
        <v>3</v>
      </c>
      <c r="J626" s="246">
        <v>369570</v>
      </c>
      <c r="K626" s="140">
        <f>I626*J626</f>
        <v>1108710</v>
      </c>
      <c r="L626" s="314"/>
      <c r="M626" s="508">
        <f>+IF(I626&lt;S626,S626-I626,0)</f>
        <v>0</v>
      </c>
      <c r="N626" s="307">
        <f>+IF(I626&gt;S626,-S626+I626,0)</f>
        <v>0</v>
      </c>
      <c r="O626" s="313">
        <f>+M626*J626</f>
        <v>0</v>
      </c>
      <c r="P626" s="313">
        <f>+N626*J626</f>
        <v>0</v>
      </c>
      <c r="Q626" s="313">
        <f t="shared" ref="Q626" si="379">+O626-P626</f>
        <v>0</v>
      </c>
      <c r="R626" s="244"/>
      <c r="S626" s="331">
        <v>3</v>
      </c>
      <c r="T626" s="304">
        <f>+J626</f>
        <v>369570</v>
      </c>
      <c r="U626" s="501">
        <f t="shared" ref="U626" si="380">+S626*T626</f>
        <v>1108710</v>
      </c>
    </row>
    <row r="627" spans="2:22" ht="30" customHeight="1">
      <c r="B627" s="80"/>
      <c r="C627" s="84">
        <v>13.2</v>
      </c>
      <c r="D627" s="97"/>
      <c r="E627" s="97"/>
      <c r="F627" s="97"/>
      <c r="G627" s="98" t="s">
        <v>268</v>
      </c>
      <c r="H627" s="97" t="s">
        <v>267</v>
      </c>
      <c r="I627" s="87">
        <v>3</v>
      </c>
      <c r="J627" s="88">
        <v>4903298</v>
      </c>
      <c r="K627" s="140">
        <f>I627*J627</f>
        <v>14709894</v>
      </c>
      <c r="L627" s="315"/>
      <c r="M627" s="508">
        <f>+IF(I627&lt;S627,S627-I627,0)</f>
        <v>0</v>
      </c>
      <c r="N627" s="307">
        <f>+IF(I627&gt;S627,-S627+I627,0)</f>
        <v>0</v>
      </c>
      <c r="O627" s="313">
        <f>+M627*J627</f>
        <v>0</v>
      </c>
      <c r="P627" s="313">
        <f>+N627*J627</f>
        <v>0</v>
      </c>
      <c r="Q627" s="313">
        <f t="shared" ref="Q627" si="381">+O627-P627</f>
        <v>0</v>
      </c>
      <c r="R627" s="244"/>
      <c r="S627" s="331">
        <v>3</v>
      </c>
      <c r="T627" s="304">
        <f>+J627</f>
        <v>4903298</v>
      </c>
      <c r="U627" s="501">
        <f t="shared" ref="U627" si="382">+S627*T627</f>
        <v>14709894</v>
      </c>
    </row>
    <row r="628" spans="2:22" ht="30" customHeight="1" thickBot="1">
      <c r="B628" s="80"/>
      <c r="C628" s="259" t="s">
        <v>8</v>
      </c>
      <c r="D628" s="594"/>
      <c r="E628" s="594"/>
      <c r="F628" s="594"/>
      <c r="G628" s="595"/>
      <c r="H628" s="592"/>
      <c r="I628" s="507"/>
      <c r="J628" s="104"/>
      <c r="K628" s="142">
        <f>SUM(K626:K627)</f>
        <v>15818604</v>
      </c>
      <c r="L628" s="325"/>
      <c r="M628" s="330"/>
      <c r="N628" s="502"/>
      <c r="O628" s="539">
        <v>0</v>
      </c>
      <c r="P628" s="539">
        <f t="shared" ref="P628" si="383">SUM(P626:P627)</f>
        <v>0</v>
      </c>
      <c r="Q628" s="539">
        <f>SUM(Q626:Q627)</f>
        <v>0</v>
      </c>
      <c r="R628" s="244"/>
      <c r="S628" s="309"/>
      <c r="T628" s="309"/>
      <c r="U628" s="506">
        <f>SUM(U626:U627)</f>
        <v>15818604</v>
      </c>
      <c r="V628" s="112"/>
    </row>
    <row r="629" spans="2:22" ht="30" customHeight="1" thickBot="1">
      <c r="B629" s="80"/>
      <c r="C629" s="886" t="s">
        <v>269</v>
      </c>
      <c r="D629" s="887"/>
      <c r="E629" s="887"/>
      <c r="F629" s="887"/>
      <c r="G629" s="887"/>
      <c r="H629" s="887"/>
      <c r="I629" s="887"/>
      <c r="J629" s="887"/>
      <c r="K629" s="887"/>
      <c r="L629" s="889"/>
      <c r="M629" s="887"/>
      <c r="N629" s="887"/>
      <c r="O629" s="887"/>
      <c r="P629" s="887"/>
      <c r="Q629" s="887"/>
      <c r="R629" s="589"/>
      <c r="S629" s="589"/>
      <c r="T629" s="589"/>
      <c r="U629" s="500"/>
    </row>
    <row r="630" spans="2:22" ht="30" customHeight="1">
      <c r="B630" s="80"/>
      <c r="C630" s="106">
        <v>14.1</v>
      </c>
      <c r="D630" s="251"/>
      <c r="E630" s="251"/>
      <c r="F630" s="251"/>
      <c r="G630" s="252" t="s">
        <v>270</v>
      </c>
      <c r="H630" s="251" t="s">
        <v>202</v>
      </c>
      <c r="I630" s="249">
        <v>4</v>
      </c>
      <c r="J630" s="246">
        <v>5043048</v>
      </c>
      <c r="K630" s="140">
        <f>I630*J630</f>
        <v>20172192</v>
      </c>
      <c r="L630" s="314"/>
      <c r="M630" s="508">
        <f>+IF(I630&lt;S630,S630-I630,0)</f>
        <v>0</v>
      </c>
      <c r="N630" s="307">
        <f>+IF(I630&gt;S630,-S630+I630,0)</f>
        <v>0</v>
      </c>
      <c r="O630" s="313">
        <f>+M630*J630</f>
        <v>0</v>
      </c>
      <c r="P630" s="313">
        <f>+N630*J630</f>
        <v>0</v>
      </c>
      <c r="Q630" s="313">
        <f t="shared" ref="Q630" si="384">+O630-P630</f>
        <v>0</v>
      </c>
      <c r="R630" s="244"/>
      <c r="S630" s="303">
        <v>4</v>
      </c>
      <c r="T630" s="304">
        <f>+J630</f>
        <v>5043048</v>
      </c>
      <c r="U630" s="501">
        <f t="shared" ref="U630" si="385">+S630*T630</f>
        <v>20172192</v>
      </c>
    </row>
    <row r="631" spans="2:22" ht="30" customHeight="1">
      <c r="B631" s="80"/>
      <c r="C631" s="106">
        <v>14.2</v>
      </c>
      <c r="D631" s="99"/>
      <c r="E631" s="99"/>
      <c r="F631" s="99"/>
      <c r="G631" s="98" t="s">
        <v>271</v>
      </c>
      <c r="H631" s="97" t="s">
        <v>267</v>
      </c>
      <c r="I631" s="87">
        <v>1300</v>
      </c>
      <c r="J631" s="88">
        <v>168744</v>
      </c>
      <c r="K631" s="140">
        <f>I631*J631</f>
        <v>219367200</v>
      </c>
      <c r="L631" s="315"/>
      <c r="M631" s="508">
        <f>+IF(I631&lt;S631,S631-I631,0)</f>
        <v>0</v>
      </c>
      <c r="N631" s="307">
        <f>+IF(I631&gt;S631,-S631+I631,0)</f>
        <v>565</v>
      </c>
      <c r="O631" s="313">
        <f>+M631*J631</f>
        <v>0</v>
      </c>
      <c r="P631" s="313">
        <f>+N631*J631</f>
        <v>95340360</v>
      </c>
      <c r="Q631" s="313">
        <f t="shared" ref="Q631" si="386">+O631-P631</f>
        <v>-95340360</v>
      </c>
      <c r="R631" s="244"/>
      <c r="S631" s="303">
        <v>735</v>
      </c>
      <c r="T631" s="304">
        <f>+J631</f>
        <v>168744</v>
      </c>
      <c r="U631" s="501">
        <f t="shared" ref="U631" si="387">+S631*T631</f>
        <v>124026840</v>
      </c>
    </row>
    <row r="632" spans="2:22" ht="30" customHeight="1">
      <c r="B632" s="80"/>
      <c r="C632" s="103" t="s">
        <v>8</v>
      </c>
      <c r="D632" s="592"/>
      <c r="E632" s="592"/>
      <c r="F632" s="592"/>
      <c r="G632" s="593"/>
      <c r="H632" s="592"/>
      <c r="I632" s="87"/>
      <c r="J632" s="104"/>
      <c r="K632" s="142">
        <f>SUM(K630:K631)</f>
        <v>239539392</v>
      </c>
      <c r="L632" s="325"/>
      <c r="M632" s="508"/>
      <c r="N632" s="307"/>
      <c r="O632" s="308">
        <v>0</v>
      </c>
      <c r="P632" s="308">
        <f>SUM(P630:P631)</f>
        <v>95340360</v>
      </c>
      <c r="Q632" s="308">
        <f>SUM(Q630:Q631)</f>
        <v>-95340360</v>
      </c>
      <c r="R632" s="244"/>
      <c r="S632" s="309"/>
      <c r="T632" s="309"/>
      <c r="U632" s="506">
        <f>SUM(U630:U631)</f>
        <v>144199032</v>
      </c>
      <c r="V632" s="112"/>
    </row>
    <row r="633" spans="2:22" ht="30" customHeight="1">
      <c r="B633" s="80"/>
      <c r="C633" s="952" t="s">
        <v>277</v>
      </c>
      <c r="D633" s="889"/>
      <c r="E633" s="889"/>
      <c r="F633" s="889"/>
      <c r="G633" s="889"/>
      <c r="H633" s="889"/>
      <c r="I633" s="889"/>
      <c r="J633" s="889"/>
      <c r="K633" s="889"/>
      <c r="L633" s="889"/>
      <c r="M633" s="889"/>
      <c r="N633" s="889"/>
      <c r="O633" s="889"/>
      <c r="P633" s="889"/>
      <c r="Q633" s="889"/>
      <c r="R633" s="609"/>
      <c r="S633" s="609"/>
      <c r="T633" s="609"/>
      <c r="U633" s="540"/>
    </row>
    <row r="634" spans="2:22" ht="30" customHeight="1">
      <c r="B634" s="80"/>
      <c r="C634" s="84">
        <v>15.1</v>
      </c>
      <c r="D634" s="97"/>
      <c r="E634" s="97"/>
      <c r="F634" s="97"/>
      <c r="G634" s="98" t="s">
        <v>278</v>
      </c>
      <c r="H634" s="97" t="s">
        <v>305</v>
      </c>
      <c r="I634" s="87">
        <v>556.48700000000008</v>
      </c>
      <c r="J634" s="88">
        <v>83705</v>
      </c>
      <c r="K634" s="140">
        <f t="shared" ref="K634:K656" si="388">I634*J634</f>
        <v>46580744.335000008</v>
      </c>
      <c r="L634" s="314"/>
      <c r="M634" s="508">
        <f t="shared" ref="M634:M656" si="389">+IF(I634&lt;S634,S634-I634,0)</f>
        <v>1243.8984</v>
      </c>
      <c r="N634" s="307">
        <f t="shared" ref="N634:N656" si="390">+IF(I634&gt;S634,-S634+I634,0)</f>
        <v>0</v>
      </c>
      <c r="O634" s="313">
        <f t="shared" ref="O634:O656" si="391">+M634*J634</f>
        <v>104120515.572</v>
      </c>
      <c r="P634" s="313">
        <f t="shared" ref="P634:P656" si="392">+N634*J634</f>
        <v>0</v>
      </c>
      <c r="Q634" s="313">
        <f t="shared" ref="Q634" si="393">+O634-P634</f>
        <v>104120515.572</v>
      </c>
      <c r="R634" s="244"/>
      <c r="S634" s="303">
        <f>+'MEMORIAS DE CANTIDADES'!L4947</f>
        <v>1800.3854000000001</v>
      </c>
      <c r="T634" s="304">
        <f t="shared" ref="T634:T656" si="394">+J634</f>
        <v>83705</v>
      </c>
      <c r="U634" s="501">
        <f t="shared" ref="U634" si="395">+S634*T634</f>
        <v>150701259.90700001</v>
      </c>
      <c r="V634" s="148"/>
    </row>
    <row r="635" spans="2:22" ht="30" customHeight="1">
      <c r="B635" s="80"/>
      <c r="C635" s="84">
        <v>15.2</v>
      </c>
      <c r="D635" s="99"/>
      <c r="E635" s="99"/>
      <c r="F635" s="99"/>
      <c r="G635" s="98" t="s">
        <v>279</v>
      </c>
      <c r="H635" s="97" t="s">
        <v>305</v>
      </c>
      <c r="I635" s="87">
        <v>2645.2</v>
      </c>
      <c r="J635" s="88">
        <v>58639</v>
      </c>
      <c r="K635" s="140">
        <f t="shared" si="388"/>
        <v>155111882.79999998</v>
      </c>
      <c r="L635" s="315"/>
      <c r="M635" s="508">
        <f t="shared" si="389"/>
        <v>2008.416110000001</v>
      </c>
      <c r="N635" s="307">
        <f t="shared" si="390"/>
        <v>0</v>
      </c>
      <c r="O635" s="313">
        <f t="shared" si="391"/>
        <v>117771512.27429006</v>
      </c>
      <c r="P635" s="313">
        <f t="shared" si="392"/>
        <v>0</v>
      </c>
      <c r="Q635" s="313">
        <f t="shared" ref="Q635:Q656" si="396">+O635-P635</f>
        <v>117771512.27429006</v>
      </c>
      <c r="R635" s="244"/>
      <c r="S635" s="303">
        <f>+'MEMORIAS DE CANTIDADES'!L4982</f>
        <v>4653.6161100000008</v>
      </c>
      <c r="T635" s="304">
        <f t="shared" si="394"/>
        <v>58639</v>
      </c>
      <c r="U635" s="501">
        <f t="shared" ref="U635:U656" si="397">+S635*T635</f>
        <v>272883395.07429004</v>
      </c>
      <c r="V635" s="148"/>
    </row>
    <row r="636" spans="2:22" ht="30" customHeight="1">
      <c r="B636" s="80"/>
      <c r="C636" s="84">
        <v>15.3</v>
      </c>
      <c r="D636" s="97"/>
      <c r="E636" s="97"/>
      <c r="F636" s="97"/>
      <c r="G636" s="98" t="s">
        <v>86</v>
      </c>
      <c r="H636" s="97" t="s">
        <v>305</v>
      </c>
      <c r="I636" s="87">
        <v>2162.7570000000001</v>
      </c>
      <c r="J636" s="88">
        <v>108681</v>
      </c>
      <c r="K636" s="140">
        <f t="shared" si="388"/>
        <v>235050593.51700002</v>
      </c>
      <c r="L636" s="315"/>
      <c r="M636" s="508">
        <f t="shared" si="389"/>
        <v>6927.5726660000018</v>
      </c>
      <c r="N636" s="307">
        <f t="shared" si="390"/>
        <v>0</v>
      </c>
      <c r="O636" s="313">
        <f t="shared" si="391"/>
        <v>752895524.9135462</v>
      </c>
      <c r="P636" s="313">
        <f t="shared" si="392"/>
        <v>0</v>
      </c>
      <c r="Q636" s="313">
        <f t="shared" si="396"/>
        <v>752895524.9135462</v>
      </c>
      <c r="R636" s="244"/>
      <c r="S636" s="303">
        <f>+'MEMORIAS DE CANTIDADES'!L4995</f>
        <v>9090.3296660000015</v>
      </c>
      <c r="T636" s="304">
        <f t="shared" si="394"/>
        <v>108681</v>
      </c>
      <c r="U636" s="501">
        <f t="shared" si="397"/>
        <v>987946118.43054616</v>
      </c>
      <c r="V636" s="148"/>
    </row>
    <row r="637" spans="2:22" ht="30" customHeight="1">
      <c r="B637" s="80"/>
      <c r="C637" s="84">
        <v>15.4</v>
      </c>
      <c r="D637" s="95"/>
      <c r="E637" s="95"/>
      <c r="F637" s="95"/>
      <c r="G637" s="100" t="s">
        <v>280</v>
      </c>
      <c r="H637" s="95" t="s">
        <v>305</v>
      </c>
      <c r="I637" s="87">
        <v>189.8</v>
      </c>
      <c r="J637" s="88">
        <v>151344</v>
      </c>
      <c r="K637" s="140">
        <f t="shared" si="388"/>
        <v>28725091.200000003</v>
      </c>
      <c r="L637" s="315"/>
      <c r="M637" s="508">
        <f t="shared" si="389"/>
        <v>2915.846563999999</v>
      </c>
      <c r="N637" s="307">
        <f t="shared" si="390"/>
        <v>0</v>
      </c>
      <c r="O637" s="313">
        <f t="shared" si="391"/>
        <v>441295882.38201582</v>
      </c>
      <c r="P637" s="313">
        <f t="shared" si="392"/>
        <v>0</v>
      </c>
      <c r="Q637" s="313">
        <f t="shared" si="396"/>
        <v>441295882.38201582</v>
      </c>
      <c r="R637" s="244"/>
      <c r="S637" s="303">
        <f>+'MEMORIAS DE CANTIDADES'!L5011</f>
        <v>3105.6465639999992</v>
      </c>
      <c r="T637" s="304">
        <f t="shared" si="394"/>
        <v>151344</v>
      </c>
      <c r="U637" s="501">
        <f t="shared" si="397"/>
        <v>470020973.58201587</v>
      </c>
    </row>
    <row r="638" spans="2:22" ht="30" customHeight="1">
      <c r="B638" s="80"/>
      <c r="C638" s="84">
        <v>15.5</v>
      </c>
      <c r="D638" s="97"/>
      <c r="E638" s="97"/>
      <c r="F638" s="97"/>
      <c r="G638" s="98" t="s">
        <v>281</v>
      </c>
      <c r="H638" s="97" t="s">
        <v>305</v>
      </c>
      <c r="I638" s="87">
        <v>189.8</v>
      </c>
      <c r="J638" s="101">
        <v>887959</v>
      </c>
      <c r="K638" s="140">
        <f t="shared" si="388"/>
        <v>168534618.20000002</v>
      </c>
      <c r="L638" s="315"/>
      <c r="M638" s="508">
        <f t="shared" si="389"/>
        <v>11.5</v>
      </c>
      <c r="N638" s="307">
        <f t="shared" si="390"/>
        <v>0</v>
      </c>
      <c r="O638" s="313">
        <f t="shared" si="391"/>
        <v>10211528.5</v>
      </c>
      <c r="P638" s="313">
        <f t="shared" si="392"/>
        <v>0</v>
      </c>
      <c r="Q638" s="313">
        <f t="shared" si="396"/>
        <v>10211528.5</v>
      </c>
      <c r="R638" s="244"/>
      <c r="S638" s="303">
        <f>+'MEMORIAS DE CANTIDADES'!L5046</f>
        <v>201.3</v>
      </c>
      <c r="T638" s="304">
        <f t="shared" si="394"/>
        <v>887959</v>
      </c>
      <c r="U638" s="501">
        <f t="shared" si="397"/>
        <v>178746146.70000002</v>
      </c>
    </row>
    <row r="639" spans="2:22" ht="36.75" customHeight="1">
      <c r="B639" s="80"/>
      <c r="C639" s="84">
        <v>15.6</v>
      </c>
      <c r="D639" s="95"/>
      <c r="E639" s="95"/>
      <c r="F639" s="95"/>
      <c r="G639" s="100" t="s">
        <v>282</v>
      </c>
      <c r="H639" s="95" t="s">
        <v>65</v>
      </c>
      <c r="I639" s="87">
        <v>1490.1500000000003</v>
      </c>
      <c r="J639" s="101">
        <v>69352</v>
      </c>
      <c r="K639" s="140">
        <f t="shared" si="388"/>
        <v>103344882.80000003</v>
      </c>
      <c r="L639" s="315"/>
      <c r="M639" s="508">
        <f t="shared" si="389"/>
        <v>0</v>
      </c>
      <c r="N639" s="307">
        <f t="shared" si="390"/>
        <v>1254.1500000000003</v>
      </c>
      <c r="O639" s="313">
        <f t="shared" si="391"/>
        <v>0</v>
      </c>
      <c r="P639" s="313">
        <f t="shared" si="392"/>
        <v>86977810.800000027</v>
      </c>
      <c r="Q639" s="313">
        <f t="shared" si="396"/>
        <v>-86977810.800000027</v>
      </c>
      <c r="R639" s="244"/>
      <c r="S639" s="303">
        <f>+'MEMORIAS DE CANTIDADES'!L5058</f>
        <v>236</v>
      </c>
      <c r="T639" s="304">
        <f t="shared" si="394"/>
        <v>69352</v>
      </c>
      <c r="U639" s="501">
        <f t="shared" si="397"/>
        <v>16367072</v>
      </c>
      <c r="V639" s="148"/>
    </row>
    <row r="640" spans="2:22" ht="30" customHeight="1">
      <c r="B640" s="80"/>
      <c r="C640" s="84">
        <v>15.7</v>
      </c>
      <c r="D640" s="97"/>
      <c r="E640" s="85"/>
      <c r="F640" s="97"/>
      <c r="G640" s="98" t="s">
        <v>168</v>
      </c>
      <c r="H640" s="97" t="s">
        <v>21</v>
      </c>
      <c r="I640" s="87">
        <v>484.89</v>
      </c>
      <c r="J640" s="88">
        <v>105387</v>
      </c>
      <c r="K640" s="140">
        <f t="shared" si="388"/>
        <v>51101102.43</v>
      </c>
      <c r="L640" s="315"/>
      <c r="M640" s="508">
        <f t="shared" si="389"/>
        <v>0</v>
      </c>
      <c r="N640" s="307">
        <f t="shared" si="390"/>
        <v>116.88999999999999</v>
      </c>
      <c r="O640" s="313">
        <f t="shared" si="391"/>
        <v>0</v>
      </c>
      <c r="P640" s="313">
        <f t="shared" si="392"/>
        <v>12318686.429999998</v>
      </c>
      <c r="Q640" s="313">
        <f t="shared" si="396"/>
        <v>-12318686.429999998</v>
      </c>
      <c r="R640" s="244"/>
      <c r="S640" s="303">
        <f>+'MEMORIAS DE CANTIDADES'!L5073</f>
        <v>368</v>
      </c>
      <c r="T640" s="304">
        <f t="shared" si="394"/>
        <v>105387</v>
      </c>
      <c r="U640" s="501">
        <f t="shared" si="397"/>
        <v>38782416</v>
      </c>
    </row>
    <row r="641" spans="2:23" ht="40.5" customHeight="1">
      <c r="B641" s="80"/>
      <c r="C641" s="84">
        <v>15.8</v>
      </c>
      <c r="D641" s="97"/>
      <c r="E641" s="85"/>
      <c r="F641" s="97"/>
      <c r="G641" s="98" t="s">
        <v>283</v>
      </c>
      <c r="H641" s="97" t="s">
        <v>21</v>
      </c>
      <c r="I641" s="87">
        <v>5047.2</v>
      </c>
      <c r="J641" s="88">
        <v>131905</v>
      </c>
      <c r="K641" s="140">
        <f t="shared" si="388"/>
        <v>665750916</v>
      </c>
      <c r="L641" s="315"/>
      <c r="M641" s="508">
        <f t="shared" si="389"/>
        <v>3863.1000000000013</v>
      </c>
      <c r="N641" s="307">
        <f t="shared" si="390"/>
        <v>0</v>
      </c>
      <c r="O641" s="313">
        <f t="shared" si="391"/>
        <v>509562205.50000018</v>
      </c>
      <c r="P641" s="313">
        <f t="shared" si="392"/>
        <v>0</v>
      </c>
      <c r="Q641" s="313">
        <f t="shared" si="396"/>
        <v>509562205.50000018</v>
      </c>
      <c r="R641" s="244"/>
      <c r="S641" s="303">
        <f>+'MEMORIAS DE CANTIDADES'!L5085</f>
        <v>8910.3000000000011</v>
      </c>
      <c r="T641" s="304">
        <f t="shared" si="394"/>
        <v>131905</v>
      </c>
      <c r="U641" s="501">
        <f t="shared" si="397"/>
        <v>1175313121.5000002</v>
      </c>
      <c r="V641" s="148"/>
    </row>
    <row r="642" spans="2:23" ht="30" customHeight="1">
      <c r="B642" s="80"/>
      <c r="C642" s="84">
        <v>15.9</v>
      </c>
      <c r="D642" s="97"/>
      <c r="E642" s="85"/>
      <c r="F642" s="97"/>
      <c r="G642" s="98" t="s">
        <v>284</v>
      </c>
      <c r="H642" s="97" t="s">
        <v>21</v>
      </c>
      <c r="I642" s="87">
        <v>243</v>
      </c>
      <c r="J642" s="88">
        <v>118838</v>
      </c>
      <c r="K642" s="140">
        <f t="shared" si="388"/>
        <v>28877634</v>
      </c>
      <c r="L642" s="315"/>
      <c r="M642" s="508">
        <f t="shared" si="389"/>
        <v>482</v>
      </c>
      <c r="N642" s="307">
        <f t="shared" si="390"/>
        <v>0</v>
      </c>
      <c r="O642" s="313">
        <f t="shared" si="391"/>
        <v>57279916</v>
      </c>
      <c r="P642" s="313">
        <f t="shared" si="392"/>
        <v>0</v>
      </c>
      <c r="Q642" s="313">
        <f t="shared" si="396"/>
        <v>57279916</v>
      </c>
      <c r="R642" s="244"/>
      <c r="S642" s="303">
        <f>+'MEMORIAS DE CANTIDADES'!L5097</f>
        <v>725</v>
      </c>
      <c r="T642" s="304">
        <f t="shared" si="394"/>
        <v>118838</v>
      </c>
      <c r="U642" s="501">
        <f t="shared" si="397"/>
        <v>86157550</v>
      </c>
    </row>
    <row r="643" spans="2:23" ht="30" customHeight="1">
      <c r="B643" s="80"/>
      <c r="C643" s="143" t="s">
        <v>848</v>
      </c>
      <c r="D643" s="97"/>
      <c r="E643" s="85"/>
      <c r="F643" s="97"/>
      <c r="G643" s="98" t="s">
        <v>386</v>
      </c>
      <c r="H643" s="97" t="s">
        <v>21</v>
      </c>
      <c r="I643" s="87">
        <v>747.8</v>
      </c>
      <c r="J643" s="88">
        <v>114625</v>
      </c>
      <c r="K643" s="140">
        <f t="shared" si="388"/>
        <v>85716575</v>
      </c>
      <c r="L643" s="315"/>
      <c r="M643" s="508">
        <f t="shared" si="389"/>
        <v>644.56400000000008</v>
      </c>
      <c r="N643" s="307">
        <f t="shared" si="390"/>
        <v>0</v>
      </c>
      <c r="O643" s="313">
        <f t="shared" si="391"/>
        <v>73883148.500000015</v>
      </c>
      <c r="P643" s="313">
        <f t="shared" si="392"/>
        <v>0</v>
      </c>
      <c r="Q643" s="313">
        <f t="shared" si="396"/>
        <v>73883148.500000015</v>
      </c>
      <c r="R643" s="244"/>
      <c r="S643" s="303">
        <f>+'MEMORIAS DE CANTIDADES'!L5108</f>
        <v>1392.364</v>
      </c>
      <c r="T643" s="304">
        <f t="shared" si="394"/>
        <v>114625</v>
      </c>
      <c r="U643" s="501">
        <f t="shared" si="397"/>
        <v>159599723.5</v>
      </c>
    </row>
    <row r="644" spans="2:23" ht="50.25" customHeight="1">
      <c r="B644" s="80"/>
      <c r="C644" s="90">
        <v>15.11</v>
      </c>
      <c r="D644" s="97"/>
      <c r="E644" s="97"/>
      <c r="F644" s="97"/>
      <c r="G644" s="98" t="s">
        <v>285</v>
      </c>
      <c r="H644" s="102" t="s">
        <v>21</v>
      </c>
      <c r="I644" s="87">
        <v>4134</v>
      </c>
      <c r="J644" s="88">
        <v>26182</v>
      </c>
      <c r="K644" s="140">
        <f t="shared" si="388"/>
        <v>108236388</v>
      </c>
      <c r="L644" s="315"/>
      <c r="M644" s="508">
        <f t="shared" si="389"/>
        <v>701</v>
      </c>
      <c r="N644" s="307">
        <f t="shared" si="390"/>
        <v>0</v>
      </c>
      <c r="O644" s="313">
        <f t="shared" si="391"/>
        <v>18353582</v>
      </c>
      <c r="P644" s="313">
        <f t="shared" si="392"/>
        <v>0</v>
      </c>
      <c r="Q644" s="313">
        <f t="shared" si="396"/>
        <v>18353582</v>
      </c>
      <c r="R644" s="244"/>
      <c r="S644" s="303">
        <f>+'MEMORIAS DE CANTIDADES'!L5122</f>
        <v>4835</v>
      </c>
      <c r="T644" s="304">
        <f t="shared" si="394"/>
        <v>26182</v>
      </c>
      <c r="U644" s="501">
        <f t="shared" si="397"/>
        <v>126589970</v>
      </c>
      <c r="V644" s="148"/>
    </row>
    <row r="645" spans="2:23" ht="30" customHeight="1">
      <c r="B645" s="80"/>
      <c r="C645" s="90">
        <v>15.12</v>
      </c>
      <c r="D645" s="97"/>
      <c r="E645" s="97"/>
      <c r="F645" s="97"/>
      <c r="G645" s="98" t="s">
        <v>286</v>
      </c>
      <c r="H645" s="102" t="s">
        <v>202</v>
      </c>
      <c r="I645" s="87">
        <v>4000</v>
      </c>
      <c r="J645" s="88">
        <v>22534</v>
      </c>
      <c r="K645" s="140">
        <f t="shared" si="388"/>
        <v>90136000</v>
      </c>
      <c r="L645" s="315"/>
      <c r="M645" s="508">
        <f t="shared" si="389"/>
        <v>11724.94</v>
      </c>
      <c r="N645" s="307">
        <f t="shared" si="390"/>
        <v>0</v>
      </c>
      <c r="O645" s="313">
        <f t="shared" si="391"/>
        <v>264209797.96000001</v>
      </c>
      <c r="P645" s="313">
        <f t="shared" si="392"/>
        <v>0</v>
      </c>
      <c r="Q645" s="313">
        <f t="shared" si="396"/>
        <v>264209797.96000001</v>
      </c>
      <c r="R645" s="244"/>
      <c r="S645" s="303">
        <f>+'MEMORIAS DE CANTIDADES'!L5133</f>
        <v>15724.94</v>
      </c>
      <c r="T645" s="304">
        <f t="shared" si="394"/>
        <v>22534</v>
      </c>
      <c r="U645" s="501">
        <f t="shared" si="397"/>
        <v>354345797.96000004</v>
      </c>
    </row>
    <row r="646" spans="2:23" ht="30" customHeight="1">
      <c r="B646" s="80"/>
      <c r="C646" s="90">
        <v>15.13</v>
      </c>
      <c r="D646" s="97"/>
      <c r="E646" s="97"/>
      <c r="F646" s="97"/>
      <c r="G646" s="98" t="s">
        <v>287</v>
      </c>
      <c r="H646" s="102" t="s">
        <v>202</v>
      </c>
      <c r="I646" s="87">
        <v>80</v>
      </c>
      <c r="J646" s="88">
        <v>447964</v>
      </c>
      <c r="K646" s="140">
        <f t="shared" si="388"/>
        <v>35837120</v>
      </c>
      <c r="L646" s="315"/>
      <c r="M646" s="508">
        <f t="shared" si="389"/>
        <v>74</v>
      </c>
      <c r="N646" s="307">
        <f t="shared" si="390"/>
        <v>0</v>
      </c>
      <c r="O646" s="313">
        <f t="shared" si="391"/>
        <v>33149336</v>
      </c>
      <c r="P646" s="313">
        <f t="shared" si="392"/>
        <v>0</v>
      </c>
      <c r="Q646" s="313">
        <f t="shared" si="396"/>
        <v>33149336</v>
      </c>
      <c r="R646" s="244"/>
      <c r="S646" s="303">
        <f>+'MEMORIAS DE CANTIDADES'!L5144</f>
        <v>154</v>
      </c>
      <c r="T646" s="304">
        <f t="shared" si="394"/>
        <v>447964</v>
      </c>
      <c r="U646" s="501">
        <f t="shared" si="397"/>
        <v>68986456</v>
      </c>
    </row>
    <row r="647" spans="2:23" ht="30" customHeight="1">
      <c r="B647" s="80"/>
      <c r="C647" s="90">
        <v>15.14</v>
      </c>
      <c r="D647" s="97"/>
      <c r="E647" s="97"/>
      <c r="F647" s="97"/>
      <c r="G647" s="98" t="s">
        <v>288</v>
      </c>
      <c r="H647" s="102" t="s">
        <v>267</v>
      </c>
      <c r="I647" s="87">
        <v>100</v>
      </c>
      <c r="J647" s="88">
        <v>113133</v>
      </c>
      <c r="K647" s="140">
        <f t="shared" si="388"/>
        <v>11313300</v>
      </c>
      <c r="L647" s="315"/>
      <c r="M647" s="508">
        <f t="shared" si="389"/>
        <v>0</v>
      </c>
      <c r="N647" s="307">
        <f t="shared" si="390"/>
        <v>0</v>
      </c>
      <c r="O647" s="313">
        <f t="shared" si="391"/>
        <v>0</v>
      </c>
      <c r="P647" s="313">
        <f t="shared" si="392"/>
        <v>0</v>
      </c>
      <c r="Q647" s="313">
        <f t="shared" si="396"/>
        <v>0</v>
      </c>
      <c r="R647" s="244"/>
      <c r="S647" s="303">
        <f>+'MEMORIAS DE CANTIDADES'!L5155</f>
        <v>100</v>
      </c>
      <c r="T647" s="304">
        <f t="shared" si="394"/>
        <v>113133</v>
      </c>
      <c r="U647" s="501">
        <f t="shared" si="397"/>
        <v>11313300</v>
      </c>
    </row>
    <row r="648" spans="2:23" ht="30" customHeight="1">
      <c r="B648" s="80"/>
      <c r="C648" s="90">
        <v>15.15</v>
      </c>
      <c r="D648" s="97"/>
      <c r="E648" s="97"/>
      <c r="F648" s="97"/>
      <c r="G648" s="98" t="s">
        <v>289</v>
      </c>
      <c r="H648" s="102" t="s">
        <v>65</v>
      </c>
      <c r="I648" s="87">
        <v>395</v>
      </c>
      <c r="J648" s="88">
        <v>12873</v>
      </c>
      <c r="K648" s="140">
        <f t="shared" si="388"/>
        <v>5084835</v>
      </c>
      <c r="L648" s="315"/>
      <c r="M648" s="508">
        <f t="shared" si="389"/>
        <v>0</v>
      </c>
      <c r="N648" s="307">
        <f t="shared" si="390"/>
        <v>0</v>
      </c>
      <c r="O648" s="313">
        <f t="shared" si="391"/>
        <v>0</v>
      </c>
      <c r="P648" s="313">
        <f t="shared" si="392"/>
        <v>0</v>
      </c>
      <c r="Q648" s="313">
        <f t="shared" si="396"/>
        <v>0</v>
      </c>
      <c r="R648" s="244"/>
      <c r="S648" s="303">
        <f>+'MEMORIAS DE CANTIDADES'!L5166</f>
        <v>395</v>
      </c>
      <c r="T648" s="304">
        <f t="shared" si="394"/>
        <v>12873</v>
      </c>
      <c r="U648" s="501">
        <f t="shared" si="397"/>
        <v>5084835</v>
      </c>
    </row>
    <row r="649" spans="2:23" ht="30" customHeight="1">
      <c r="B649" s="80"/>
      <c r="C649" s="90">
        <v>15.16</v>
      </c>
      <c r="D649" s="97"/>
      <c r="E649" s="97"/>
      <c r="F649" s="97"/>
      <c r="G649" s="98" t="s">
        <v>290</v>
      </c>
      <c r="H649" s="102" t="s">
        <v>21</v>
      </c>
      <c r="I649" s="87">
        <v>39.700000000000003</v>
      </c>
      <c r="J649" s="88">
        <v>69384</v>
      </c>
      <c r="K649" s="140">
        <f t="shared" si="388"/>
        <v>2754544.8000000003</v>
      </c>
      <c r="L649" s="315"/>
      <c r="M649" s="508">
        <f t="shared" si="389"/>
        <v>0</v>
      </c>
      <c r="N649" s="307">
        <f t="shared" si="390"/>
        <v>0.70000000000000284</v>
      </c>
      <c r="O649" s="313">
        <f t="shared" si="391"/>
        <v>0</v>
      </c>
      <c r="P649" s="313">
        <f t="shared" si="392"/>
        <v>48568.800000000199</v>
      </c>
      <c r="Q649" s="313">
        <f t="shared" si="396"/>
        <v>-48568.800000000199</v>
      </c>
      <c r="R649" s="244"/>
      <c r="S649" s="303">
        <f>+'MEMORIAS DE CANTIDADES'!L5177</f>
        <v>39</v>
      </c>
      <c r="T649" s="304">
        <f t="shared" si="394"/>
        <v>69384</v>
      </c>
      <c r="U649" s="501">
        <f t="shared" si="397"/>
        <v>2705976</v>
      </c>
    </row>
    <row r="650" spans="2:23" ht="30.75" customHeight="1">
      <c r="B650" s="80"/>
      <c r="C650" s="90">
        <v>15.17</v>
      </c>
      <c r="D650" s="97"/>
      <c r="E650" s="97"/>
      <c r="F650" s="97"/>
      <c r="G650" s="485" t="s">
        <v>291</v>
      </c>
      <c r="H650" s="486" t="s">
        <v>267</v>
      </c>
      <c r="I650" s="487">
        <v>5</v>
      </c>
      <c r="J650" s="488">
        <v>2515576</v>
      </c>
      <c r="K650" s="489">
        <f t="shared" si="388"/>
        <v>12577880</v>
      </c>
      <c r="L650" s="490"/>
      <c r="M650" s="541">
        <f t="shared" si="389"/>
        <v>57</v>
      </c>
      <c r="N650" s="491">
        <f t="shared" si="390"/>
        <v>0</v>
      </c>
      <c r="O650" s="492">
        <f t="shared" si="391"/>
        <v>143387832</v>
      </c>
      <c r="P650" s="492">
        <f t="shared" si="392"/>
        <v>0</v>
      </c>
      <c r="Q650" s="492">
        <f t="shared" si="396"/>
        <v>143387832</v>
      </c>
      <c r="R650" s="493"/>
      <c r="S650" s="494">
        <v>62</v>
      </c>
      <c r="T650" s="495">
        <f t="shared" si="394"/>
        <v>2515576</v>
      </c>
      <c r="U650" s="542">
        <f t="shared" si="397"/>
        <v>155965712</v>
      </c>
      <c r="V650" s="151"/>
    </row>
    <row r="651" spans="2:23" ht="30" customHeight="1">
      <c r="B651" s="80"/>
      <c r="C651" s="90">
        <v>15.18</v>
      </c>
      <c r="D651" s="97"/>
      <c r="E651" s="97"/>
      <c r="F651" s="97"/>
      <c r="G651" s="485" t="s">
        <v>292</v>
      </c>
      <c r="H651" s="486" t="s">
        <v>267</v>
      </c>
      <c r="I651" s="487">
        <v>20</v>
      </c>
      <c r="J651" s="488">
        <v>2850138</v>
      </c>
      <c r="K651" s="489">
        <f t="shared" si="388"/>
        <v>57002760</v>
      </c>
      <c r="L651" s="490"/>
      <c r="M651" s="541">
        <f t="shared" si="389"/>
        <v>27</v>
      </c>
      <c r="N651" s="491">
        <f t="shared" si="390"/>
        <v>0</v>
      </c>
      <c r="O651" s="492">
        <f t="shared" si="391"/>
        <v>76953726</v>
      </c>
      <c r="P651" s="492">
        <f t="shared" si="392"/>
        <v>0</v>
      </c>
      <c r="Q651" s="492">
        <f t="shared" si="396"/>
        <v>76953726</v>
      </c>
      <c r="R651" s="493"/>
      <c r="S651" s="494">
        <v>47</v>
      </c>
      <c r="T651" s="495">
        <f t="shared" si="394"/>
        <v>2850138</v>
      </c>
      <c r="U651" s="542">
        <f t="shared" si="397"/>
        <v>133956486</v>
      </c>
      <c r="V651" s="151"/>
    </row>
    <row r="652" spans="2:23" ht="30" customHeight="1">
      <c r="B652" s="80"/>
      <c r="C652" s="90">
        <v>15.19</v>
      </c>
      <c r="D652" s="97"/>
      <c r="E652" s="97"/>
      <c r="F652" s="97"/>
      <c r="G652" s="485" t="s">
        <v>293</v>
      </c>
      <c r="H652" s="486" t="s">
        <v>267</v>
      </c>
      <c r="I652" s="487">
        <v>6</v>
      </c>
      <c r="J652" s="488">
        <v>3373426</v>
      </c>
      <c r="K652" s="489">
        <f t="shared" si="388"/>
        <v>20240556</v>
      </c>
      <c r="L652" s="490"/>
      <c r="M652" s="541">
        <f t="shared" si="389"/>
        <v>41</v>
      </c>
      <c r="N652" s="491">
        <f t="shared" si="390"/>
        <v>0</v>
      </c>
      <c r="O652" s="492">
        <f t="shared" si="391"/>
        <v>138310466</v>
      </c>
      <c r="P652" s="492">
        <f t="shared" si="392"/>
        <v>0</v>
      </c>
      <c r="Q652" s="492">
        <f t="shared" si="396"/>
        <v>138310466</v>
      </c>
      <c r="R652" s="493"/>
      <c r="S652" s="494">
        <f>24+23</f>
        <v>47</v>
      </c>
      <c r="T652" s="495">
        <f t="shared" si="394"/>
        <v>3373426</v>
      </c>
      <c r="U652" s="542">
        <f t="shared" si="397"/>
        <v>158551022</v>
      </c>
      <c r="V652" s="151"/>
    </row>
    <row r="653" spans="2:23" ht="35.25" customHeight="1">
      <c r="B653" s="80"/>
      <c r="C653" s="90">
        <v>15.2</v>
      </c>
      <c r="D653" s="97"/>
      <c r="E653" s="97"/>
      <c r="F653" s="97"/>
      <c r="G653" s="485" t="s">
        <v>294</v>
      </c>
      <c r="H653" s="486" t="s">
        <v>267</v>
      </c>
      <c r="I653" s="487">
        <v>10</v>
      </c>
      <c r="J653" s="488">
        <v>1760668</v>
      </c>
      <c r="K653" s="489">
        <f t="shared" si="388"/>
        <v>17606680</v>
      </c>
      <c r="L653" s="490"/>
      <c r="M653" s="541">
        <f t="shared" si="389"/>
        <v>26</v>
      </c>
      <c r="N653" s="491">
        <f t="shared" si="390"/>
        <v>0</v>
      </c>
      <c r="O653" s="492">
        <f t="shared" si="391"/>
        <v>45777368</v>
      </c>
      <c r="P653" s="492">
        <f t="shared" si="392"/>
        <v>0</v>
      </c>
      <c r="Q653" s="492">
        <f t="shared" si="396"/>
        <v>45777368</v>
      </c>
      <c r="R653" s="493"/>
      <c r="S653" s="494">
        <v>36</v>
      </c>
      <c r="T653" s="495">
        <f t="shared" si="394"/>
        <v>1760668</v>
      </c>
      <c r="U653" s="542">
        <f t="shared" si="397"/>
        <v>63384048</v>
      </c>
      <c r="V653" s="151"/>
    </row>
    <row r="654" spans="2:23" ht="42" customHeight="1">
      <c r="B654" s="80"/>
      <c r="C654" s="90">
        <v>15.21</v>
      </c>
      <c r="D654" s="97"/>
      <c r="E654" s="97"/>
      <c r="F654" s="97"/>
      <c r="G654" s="98" t="s">
        <v>295</v>
      </c>
      <c r="H654" s="102" t="s">
        <v>267</v>
      </c>
      <c r="I654" s="87">
        <v>10</v>
      </c>
      <c r="J654" s="88">
        <v>1145918</v>
      </c>
      <c r="K654" s="140">
        <f t="shared" si="388"/>
        <v>11459180</v>
      </c>
      <c r="L654" s="315"/>
      <c r="M654" s="508">
        <f t="shared" si="389"/>
        <v>2</v>
      </c>
      <c r="N654" s="307">
        <f t="shared" si="390"/>
        <v>0</v>
      </c>
      <c r="O654" s="313">
        <f t="shared" si="391"/>
        <v>2291836</v>
      </c>
      <c r="P654" s="313">
        <f t="shared" si="392"/>
        <v>0</v>
      </c>
      <c r="Q654" s="313">
        <f t="shared" si="396"/>
        <v>2291836</v>
      </c>
      <c r="R654" s="244"/>
      <c r="S654" s="303">
        <f>+'MEMORIAS DE CANTIDADES'!L5229</f>
        <v>12</v>
      </c>
      <c r="T654" s="304">
        <f t="shared" si="394"/>
        <v>1145918</v>
      </c>
      <c r="U654" s="501">
        <f t="shared" si="397"/>
        <v>13751016</v>
      </c>
      <c r="W654" s="112"/>
    </row>
    <row r="655" spans="2:23" ht="45.6" customHeight="1">
      <c r="B655" s="80"/>
      <c r="C655" s="90">
        <v>15.22</v>
      </c>
      <c r="D655" s="97"/>
      <c r="E655" s="97"/>
      <c r="F655" s="97"/>
      <c r="G655" s="98" t="s">
        <v>387</v>
      </c>
      <c r="H655" s="102" t="s">
        <v>267</v>
      </c>
      <c r="I655" s="87">
        <v>1</v>
      </c>
      <c r="J655" s="88">
        <v>59255758</v>
      </c>
      <c r="K655" s="140">
        <f t="shared" si="388"/>
        <v>59255758</v>
      </c>
      <c r="L655" s="315"/>
      <c r="M655" s="508">
        <f t="shared" si="389"/>
        <v>0</v>
      </c>
      <c r="N655" s="307">
        <f t="shared" si="390"/>
        <v>0</v>
      </c>
      <c r="O655" s="313">
        <f t="shared" si="391"/>
        <v>0</v>
      </c>
      <c r="P655" s="313">
        <f t="shared" si="392"/>
        <v>0</v>
      </c>
      <c r="Q655" s="313">
        <f t="shared" si="396"/>
        <v>0</v>
      </c>
      <c r="R655" s="244"/>
      <c r="S655" s="303">
        <f>+'MEMORIAS DE CANTIDADES'!L5239</f>
        <v>1</v>
      </c>
      <c r="T655" s="304">
        <f t="shared" si="394"/>
        <v>59255758</v>
      </c>
      <c r="U655" s="501">
        <f t="shared" si="397"/>
        <v>59255758</v>
      </c>
    </row>
    <row r="656" spans="2:23" ht="46.9" customHeight="1">
      <c r="B656" s="80"/>
      <c r="C656" s="90">
        <v>15.23</v>
      </c>
      <c r="D656" s="97"/>
      <c r="E656" s="97"/>
      <c r="F656" s="97"/>
      <c r="G656" s="98" t="s">
        <v>296</v>
      </c>
      <c r="H656" s="102" t="s">
        <v>267</v>
      </c>
      <c r="I656" s="87">
        <v>1</v>
      </c>
      <c r="J656" s="88">
        <v>77876516</v>
      </c>
      <c r="K656" s="140">
        <f t="shared" si="388"/>
        <v>77876516</v>
      </c>
      <c r="L656" s="315"/>
      <c r="M656" s="508">
        <f t="shared" si="389"/>
        <v>0</v>
      </c>
      <c r="N656" s="307">
        <f t="shared" si="390"/>
        <v>0</v>
      </c>
      <c r="O656" s="313">
        <f t="shared" si="391"/>
        <v>0</v>
      </c>
      <c r="P656" s="313">
        <f t="shared" si="392"/>
        <v>0</v>
      </c>
      <c r="Q656" s="313">
        <f t="shared" si="396"/>
        <v>0</v>
      </c>
      <c r="R656" s="244"/>
      <c r="S656" s="303">
        <f>+'MEMORIAS DE CANTIDADES'!L5249</f>
        <v>1</v>
      </c>
      <c r="T656" s="304">
        <f t="shared" si="394"/>
        <v>77876516</v>
      </c>
      <c r="U656" s="501">
        <f t="shared" si="397"/>
        <v>77876516</v>
      </c>
    </row>
    <row r="657" spans="2:23" ht="30" customHeight="1">
      <c r="B657" s="80"/>
      <c r="C657" s="103" t="s">
        <v>8</v>
      </c>
      <c r="D657" s="592"/>
      <c r="E657" s="592"/>
      <c r="F657" s="592"/>
      <c r="G657" s="593"/>
      <c r="H657" s="592"/>
      <c r="I657" s="87"/>
      <c r="J657" s="104"/>
      <c r="K657" s="142">
        <f>SUM(K634:K656)</f>
        <v>2078175558.082</v>
      </c>
      <c r="L657" s="325"/>
      <c r="M657" s="330"/>
      <c r="N657" s="502"/>
      <c r="O657" s="539">
        <f>SUM(O634:O656)</f>
        <v>2789454177.6018519</v>
      </c>
      <c r="P657" s="539">
        <f t="shared" ref="P657" si="398">SUM(P634:P656)</f>
        <v>99345066.030000016</v>
      </c>
      <c r="Q657" s="539">
        <f>SUM(Q634:Q656)</f>
        <v>2690109111.5718517</v>
      </c>
      <c r="R657" s="244"/>
      <c r="S657" s="305"/>
      <c r="T657" s="305"/>
      <c r="U657" s="506">
        <f>SUM(U634:U656)</f>
        <v>4768284669.6538525</v>
      </c>
      <c r="V657" s="112"/>
    </row>
    <row r="658" spans="2:23" ht="30" customHeight="1">
      <c r="B658" s="80"/>
      <c r="C658" s="250" t="s">
        <v>297</v>
      </c>
      <c r="D658" s="588"/>
      <c r="E658" s="588"/>
      <c r="F658" s="588"/>
      <c r="G658" s="588"/>
      <c r="H658" s="588"/>
      <c r="I658" s="588"/>
      <c r="J658" s="588"/>
      <c r="K658" s="588"/>
      <c r="L658" s="610"/>
      <c r="M658" s="588"/>
      <c r="N658" s="299"/>
      <c r="O658" s="299"/>
      <c r="P658" s="299"/>
      <c r="Q658" s="543"/>
      <c r="R658" s="297"/>
      <c r="S658" s="297"/>
      <c r="T658" s="297"/>
      <c r="U658" s="544"/>
    </row>
    <row r="659" spans="2:23" ht="30" customHeight="1">
      <c r="B659" s="80"/>
      <c r="C659" s="84">
        <v>16.100000000000001</v>
      </c>
      <c r="D659" s="97"/>
      <c r="E659" s="97"/>
      <c r="F659" s="97"/>
      <c r="G659" s="98" t="s">
        <v>298</v>
      </c>
      <c r="H659" s="97" t="s">
        <v>267</v>
      </c>
      <c r="I659" s="87">
        <v>29</v>
      </c>
      <c r="J659" s="88">
        <v>85044</v>
      </c>
      <c r="K659" s="140">
        <f>I659*J659</f>
        <v>2466276</v>
      </c>
      <c r="L659" s="314"/>
      <c r="M659" s="508">
        <f>+IF(I659&lt;S659,S659-I659,0)</f>
        <v>0</v>
      </c>
      <c r="N659" s="307">
        <f>+IF(I659&gt;S659,-S659+I659,0)</f>
        <v>16</v>
      </c>
      <c r="O659" s="313">
        <f>+M659*J659</f>
        <v>0</v>
      </c>
      <c r="P659" s="313">
        <f>+N659*J659</f>
        <v>1360704</v>
      </c>
      <c r="Q659" s="313">
        <f t="shared" ref="Q659" si="399">+O659-P659</f>
        <v>-1360704</v>
      </c>
      <c r="R659" s="244"/>
      <c r="S659" s="113">
        <f>+'MEMORIAS DE CANTIDADES'!L5259</f>
        <v>13</v>
      </c>
      <c r="T659" s="304">
        <f>+J659</f>
        <v>85044</v>
      </c>
      <c r="U659" s="501">
        <f t="shared" ref="U659" si="400">+S659*T659</f>
        <v>1105572</v>
      </c>
    </row>
    <row r="660" spans="2:23" ht="30" customHeight="1">
      <c r="B660" s="80"/>
      <c r="C660" s="84">
        <v>16.2</v>
      </c>
      <c r="D660" s="97"/>
      <c r="E660" s="97"/>
      <c r="F660" s="97"/>
      <c r="G660" s="98" t="s">
        <v>299</v>
      </c>
      <c r="H660" s="97" t="s">
        <v>267</v>
      </c>
      <c r="I660" s="87">
        <v>90</v>
      </c>
      <c r="J660" s="88">
        <v>85044</v>
      </c>
      <c r="K660" s="140">
        <f>I660*J660</f>
        <v>7653960</v>
      </c>
      <c r="L660" s="315"/>
      <c r="M660" s="508">
        <f>+IF(I660&lt;S660,S660-I660,0)</f>
        <v>0</v>
      </c>
      <c r="N660" s="307">
        <f>+IF(I660&gt;S660,-S660+I660,0)</f>
        <v>0</v>
      </c>
      <c r="O660" s="313">
        <f>+M660*J660</f>
        <v>0</v>
      </c>
      <c r="P660" s="313">
        <f>+N660*J660</f>
        <v>0</v>
      </c>
      <c r="Q660" s="313">
        <f t="shared" ref="Q660" si="401">+O660-P660</f>
        <v>0</v>
      </c>
      <c r="R660" s="244"/>
      <c r="S660" s="113">
        <f>+'MEMORIAS DE CANTIDADES'!L5272</f>
        <v>90</v>
      </c>
      <c r="T660" s="304">
        <f>+J660</f>
        <v>85044</v>
      </c>
      <c r="U660" s="501">
        <f t="shared" ref="U660" si="402">+S660*T660</f>
        <v>7653960</v>
      </c>
    </row>
    <row r="661" spans="2:23" ht="30" customHeight="1" thickBot="1">
      <c r="B661" s="80"/>
      <c r="C661" s="91" t="s">
        <v>8</v>
      </c>
      <c r="D661" s="107"/>
      <c r="E661" s="107"/>
      <c r="F661" s="107"/>
      <c r="G661" s="109"/>
      <c r="H661" s="108"/>
      <c r="I661" s="87"/>
      <c r="J661" s="93"/>
      <c r="K661" s="141">
        <f>SUM(K659:K660)</f>
        <v>10120236</v>
      </c>
      <c r="L661" s="325"/>
      <c r="M661" s="330"/>
      <c r="N661" s="502"/>
      <c r="O661" s="539">
        <v>0</v>
      </c>
      <c r="P661" s="539">
        <f t="shared" ref="P661" si="403">SUM(P659:P660)</f>
        <v>1360704</v>
      </c>
      <c r="Q661" s="539">
        <f>SUM(Q659:Q660)</f>
        <v>-1360704</v>
      </c>
      <c r="R661" s="244"/>
      <c r="S661" s="309"/>
      <c r="T661" s="309"/>
      <c r="U661" s="506">
        <f>SUM(U659:U660)</f>
        <v>8759532</v>
      </c>
      <c r="V661" s="112"/>
    </row>
    <row r="662" spans="2:23" s="82" customFormat="1" ht="30" customHeight="1" thickBot="1">
      <c r="B662" s="83"/>
      <c r="C662" s="880" t="s">
        <v>9</v>
      </c>
      <c r="D662" s="881"/>
      <c r="E662" s="881"/>
      <c r="F662" s="881"/>
      <c r="G662" s="881"/>
      <c r="H662" s="881"/>
      <c r="I662" s="881"/>
      <c r="J662" s="882"/>
      <c r="K662" s="242">
        <f>K387+K394+K407+K423+K432+K447+K452+K525+K539+K550+K564+K624+K628+K632+K657+K661</f>
        <v>21534492377.481377</v>
      </c>
      <c r="L662" s="603"/>
      <c r="M662" s="413"/>
      <c r="N662" s="611"/>
      <c r="O662" s="414">
        <f>+O387+O394+O407+O423+O432+O447+O452+O525+O539+O550+O564+O624+O628+O632+O657+O661</f>
        <v>7532885791.8461494</v>
      </c>
      <c r="P662" s="414">
        <f>+P387+P394+P407+P423+P432+P447+P452+P525+P539+P550+P564+P624+P628+P632+P657+P661</f>
        <v>5439195116.7851286</v>
      </c>
      <c r="Q662" s="414">
        <f>+Q387+Q394+Q407+Q423+Q432+Q447+Q452+Q525+Q539+Q550+Q564+Q624+Q628+Q632+Q657+Q661</f>
        <v>2109313231.7510195</v>
      </c>
      <c r="R662" s="612"/>
      <c r="S662" s="612"/>
      <c r="T662" s="612"/>
      <c r="U662" s="545">
        <f>U387+U394+U407+U423+U432+U447+U452+U525+U539+U550+U564+U628+U632+U657+U661+U624</f>
        <v>23643805609.232391</v>
      </c>
      <c r="V662" s="408">
        <f>+U662-K662</f>
        <v>2109313231.7510147</v>
      </c>
    </row>
    <row r="663" spans="2:23" s="82" customFormat="1" ht="15.75">
      <c r="B663" s="83"/>
      <c r="C663" s="596"/>
      <c r="D663" s="596"/>
      <c r="E663" s="596"/>
      <c r="F663" s="596"/>
      <c r="G663" s="596"/>
      <c r="H663" s="596"/>
      <c r="I663" s="596"/>
      <c r="J663" s="596"/>
      <c r="K663" s="597"/>
      <c r="L663" s="598"/>
      <c r="M663" s="598"/>
      <c r="N663" s="598"/>
      <c r="O663" s="598"/>
      <c r="P663" s="598"/>
      <c r="Q663" s="598"/>
      <c r="R663" s="598"/>
      <c r="S663" s="598"/>
      <c r="T663" s="598"/>
      <c r="U663" s="546"/>
      <c r="W663" s="145"/>
    </row>
    <row r="664" spans="2:23" s="82" customFormat="1" ht="15.75">
      <c r="B664" s="83"/>
      <c r="C664" s="596"/>
      <c r="D664" s="596"/>
      <c r="E664" s="596"/>
      <c r="F664" s="596"/>
      <c r="G664" s="596"/>
      <c r="H664" s="596"/>
      <c r="I664" s="596"/>
      <c r="J664" s="596"/>
      <c r="K664" s="597"/>
      <c r="L664" s="598"/>
      <c r="M664" s="598"/>
      <c r="N664" s="598"/>
      <c r="O664" s="598"/>
      <c r="P664" s="598"/>
      <c r="Q664" s="598"/>
      <c r="R664" s="598"/>
      <c r="S664" s="598"/>
      <c r="T664" s="598"/>
      <c r="U664" s="546"/>
      <c r="V664" s="75"/>
      <c r="W664" s="145"/>
    </row>
    <row r="665" spans="2:23" s="82" customFormat="1" ht="23.25">
      <c r="B665" s="83"/>
      <c r="C665" s="904" t="s">
        <v>1040</v>
      </c>
      <c r="D665" s="905"/>
      <c r="E665" s="905"/>
      <c r="F665" s="905"/>
      <c r="G665" s="905"/>
      <c r="H665" s="905"/>
      <c r="I665" s="905"/>
      <c r="J665" s="905"/>
      <c r="K665" s="905"/>
      <c r="L665" s="905"/>
      <c r="M665" s="905"/>
      <c r="N665" s="905"/>
      <c r="O665" s="905"/>
      <c r="P665" s="905"/>
      <c r="Q665" s="905"/>
      <c r="R665" s="905"/>
      <c r="S665" s="905"/>
      <c r="T665" s="905"/>
      <c r="U665" s="906"/>
      <c r="V665" s="75"/>
      <c r="W665" s="145"/>
    </row>
    <row r="666" spans="2:23" s="82" customFormat="1" ht="15.75">
      <c r="B666" s="83"/>
      <c r="C666" s="907" t="s">
        <v>1017</v>
      </c>
      <c r="D666" s="908"/>
      <c r="E666" s="908"/>
      <c r="F666" s="908"/>
      <c r="G666" s="908"/>
      <c r="H666" s="908"/>
      <c r="I666" s="908"/>
      <c r="J666" s="908"/>
      <c r="K666" s="908"/>
      <c r="L666" s="411"/>
      <c r="M666" s="909" t="s">
        <v>913</v>
      </c>
      <c r="N666" s="909"/>
      <c r="O666" s="909"/>
      <c r="P666" s="909"/>
      <c r="Q666" s="909"/>
      <c r="R666" s="327"/>
      <c r="S666" s="909" t="s">
        <v>921</v>
      </c>
      <c r="T666" s="909"/>
      <c r="U666" s="910"/>
      <c r="V666" s="75"/>
      <c r="W666" s="145"/>
    </row>
    <row r="667" spans="2:23" s="82" customFormat="1" ht="31.9" customHeight="1">
      <c r="B667" s="83"/>
      <c r="C667" s="386" t="s">
        <v>0</v>
      </c>
      <c r="D667" s="386" t="s">
        <v>1</v>
      </c>
      <c r="E667" s="890" t="s">
        <v>2</v>
      </c>
      <c r="F667" s="890"/>
      <c r="G667" s="298" t="s">
        <v>3</v>
      </c>
      <c r="H667" s="298" t="s">
        <v>4</v>
      </c>
      <c r="I667" s="298" t="s">
        <v>5</v>
      </c>
      <c r="J667" s="298" t="s">
        <v>922</v>
      </c>
      <c r="K667" s="298" t="s">
        <v>916</v>
      </c>
      <c r="L667" s="388"/>
      <c r="M667" s="298" t="s">
        <v>914</v>
      </c>
      <c r="N667" s="298" t="s">
        <v>915</v>
      </c>
      <c r="O667" s="298" t="s">
        <v>923</v>
      </c>
      <c r="P667" s="298" t="s">
        <v>924</v>
      </c>
      <c r="Q667" s="298" t="s">
        <v>916</v>
      </c>
      <c r="R667" s="305"/>
      <c r="S667" s="298" t="s">
        <v>5</v>
      </c>
      <c r="T667" s="298" t="s">
        <v>922</v>
      </c>
      <c r="U667" s="499" t="s">
        <v>916</v>
      </c>
      <c r="V667" s="75"/>
      <c r="W667" s="145"/>
    </row>
    <row r="668" spans="2:23" s="82" customFormat="1" ht="15.75">
      <c r="B668" s="83"/>
      <c r="C668" s="883" t="s">
        <v>985</v>
      </c>
      <c r="D668" s="884"/>
      <c r="E668" s="884"/>
      <c r="F668" s="884"/>
      <c r="G668" s="884"/>
      <c r="H668" s="884"/>
      <c r="I668" s="884"/>
      <c r="J668" s="884"/>
      <c r="K668" s="884"/>
      <c r="L668" s="884"/>
      <c r="M668" s="884"/>
      <c r="N668" s="884"/>
      <c r="O668" s="884"/>
      <c r="P668" s="884"/>
      <c r="Q668" s="885"/>
      <c r="R668" s="390"/>
      <c r="S668" s="390"/>
      <c r="T668" s="390"/>
      <c r="U668" s="521"/>
      <c r="V668" s="75"/>
      <c r="W668" s="145"/>
    </row>
    <row r="669" spans="2:23" s="82" customFormat="1" ht="66.599999999999994" customHeight="1">
      <c r="B669" s="83"/>
      <c r="C669" s="97">
        <v>1.1000000000000001</v>
      </c>
      <c r="D669" s="85"/>
      <c r="E669" s="85"/>
      <c r="F669" s="85"/>
      <c r="G669" s="98" t="s">
        <v>986</v>
      </c>
      <c r="H669" s="85" t="s">
        <v>23</v>
      </c>
      <c r="I669" s="303">
        <v>597</v>
      </c>
      <c r="J669" s="114">
        <f>+J319</f>
        <v>384413.55</v>
      </c>
      <c r="K669" s="114">
        <f t="shared" ref="K669" si="404">I669*J669</f>
        <v>229494889.34999999</v>
      </c>
      <c r="L669" s="388"/>
      <c r="M669" s="307">
        <f>+I669</f>
        <v>597</v>
      </c>
      <c r="N669" s="307">
        <f t="shared" ref="N669:N672" si="405">+IF(I669&gt;S669,-S669+I669,0)</f>
        <v>0</v>
      </c>
      <c r="O669" s="313">
        <f t="shared" ref="O669:O671" si="406">+M669*J669</f>
        <v>229494889.34999999</v>
      </c>
      <c r="P669" s="313">
        <f t="shared" ref="P669:P672" si="407">+N669*J669</f>
        <v>0</v>
      </c>
      <c r="Q669" s="313">
        <f t="shared" ref="Q669:Q672" si="408">+O669-P669</f>
        <v>229494889.34999999</v>
      </c>
      <c r="R669" s="305"/>
      <c r="S669" s="303">
        <v>597</v>
      </c>
      <c r="T669" s="304">
        <f>+J669</f>
        <v>384413.55</v>
      </c>
      <c r="U669" s="501">
        <f t="shared" ref="U669:U671" si="409">+S669*T669</f>
        <v>229494889.34999999</v>
      </c>
      <c r="V669" s="75"/>
      <c r="W669" s="476"/>
    </row>
    <row r="670" spans="2:23" s="82" customFormat="1" ht="42" customHeight="1">
      <c r="B670" s="83"/>
      <c r="C670" s="97">
        <v>1.2</v>
      </c>
      <c r="D670" s="387"/>
      <c r="E670" s="387"/>
      <c r="F670" s="387"/>
      <c r="G670" s="98" t="s">
        <v>987</v>
      </c>
      <c r="H670" s="85" t="s">
        <v>23</v>
      </c>
      <c r="I670" s="303">
        <v>321</v>
      </c>
      <c r="J670" s="114">
        <v>38045.97</v>
      </c>
      <c r="K670" s="392">
        <f>I670*J670</f>
        <v>12212756.370000001</v>
      </c>
      <c r="L670" s="388"/>
      <c r="M670" s="307">
        <f t="shared" ref="M670:M672" si="410">+I670</f>
        <v>321</v>
      </c>
      <c r="N670" s="307">
        <f t="shared" si="405"/>
        <v>0</v>
      </c>
      <c r="O670" s="313">
        <f t="shared" si="406"/>
        <v>12212756.370000001</v>
      </c>
      <c r="P670" s="313">
        <f t="shared" si="407"/>
        <v>0</v>
      </c>
      <c r="Q670" s="313">
        <f t="shared" si="408"/>
        <v>12212756.370000001</v>
      </c>
      <c r="R670" s="305"/>
      <c r="S670" s="303">
        <v>321</v>
      </c>
      <c r="T670" s="409">
        <f>+J670</f>
        <v>38045.97</v>
      </c>
      <c r="U670" s="501">
        <f t="shared" si="409"/>
        <v>12212756.370000001</v>
      </c>
      <c r="V670" s="75"/>
      <c r="W670" s="476"/>
    </row>
    <row r="671" spans="2:23" s="82" customFormat="1" ht="24.6" customHeight="1">
      <c r="B671" s="83"/>
      <c r="C671" s="97">
        <v>1.3</v>
      </c>
      <c r="D671" s="387"/>
      <c r="E671" s="387"/>
      <c r="F671" s="387"/>
      <c r="G671" s="98" t="s">
        <v>988</v>
      </c>
      <c r="H671" s="102" t="s">
        <v>267</v>
      </c>
      <c r="I671" s="303">
        <v>7</v>
      </c>
      <c r="J671" s="114">
        <v>684098.61</v>
      </c>
      <c r="K671" s="392">
        <f>I671*J671</f>
        <v>4788690.2699999996</v>
      </c>
      <c r="L671" s="388"/>
      <c r="M671" s="307">
        <f t="shared" si="410"/>
        <v>7</v>
      </c>
      <c r="N671" s="307">
        <f t="shared" si="405"/>
        <v>0</v>
      </c>
      <c r="O671" s="313">
        <f t="shared" si="406"/>
        <v>4788690.2699999996</v>
      </c>
      <c r="P671" s="313">
        <f t="shared" si="407"/>
        <v>0</v>
      </c>
      <c r="Q671" s="313">
        <f t="shared" si="408"/>
        <v>4788690.2699999996</v>
      </c>
      <c r="R671" s="305"/>
      <c r="S671" s="303">
        <v>7</v>
      </c>
      <c r="T671" s="409">
        <f>+J671</f>
        <v>684098.61</v>
      </c>
      <c r="U671" s="501">
        <f t="shared" si="409"/>
        <v>4788690.2699999996</v>
      </c>
      <c r="V671" s="75"/>
      <c r="W671" s="476"/>
    </row>
    <row r="672" spans="2:23" s="82" customFormat="1" ht="63.6" customHeight="1">
      <c r="B672" s="83"/>
      <c r="C672" s="97">
        <v>1.4</v>
      </c>
      <c r="D672" s="387"/>
      <c r="E672" s="387"/>
      <c r="F672" s="387"/>
      <c r="G672" s="98" t="s">
        <v>1052</v>
      </c>
      <c r="H672" s="102" t="s">
        <v>21</v>
      </c>
      <c r="I672" s="303">
        <v>10360</v>
      </c>
      <c r="J672" s="114">
        <v>91413.207716197416</v>
      </c>
      <c r="K672" s="392">
        <f>I672*J672</f>
        <v>947040831.93980527</v>
      </c>
      <c r="L672" s="388"/>
      <c r="M672" s="307">
        <f t="shared" si="410"/>
        <v>10360</v>
      </c>
      <c r="N672" s="307">
        <f t="shared" si="405"/>
        <v>0</v>
      </c>
      <c r="O672" s="313">
        <f>+M672*J672</f>
        <v>947040831.93980527</v>
      </c>
      <c r="P672" s="313">
        <f t="shared" si="407"/>
        <v>0</v>
      </c>
      <c r="Q672" s="313">
        <f t="shared" si="408"/>
        <v>947040831.93980527</v>
      </c>
      <c r="R672" s="305"/>
      <c r="S672" s="303">
        <f>+I672</f>
        <v>10360</v>
      </c>
      <c r="T672" s="409">
        <f>+J672</f>
        <v>91413.207716197416</v>
      </c>
      <c r="U672" s="501">
        <f>+S672*T672</f>
        <v>947040831.93980527</v>
      </c>
      <c r="V672" s="75"/>
      <c r="W672" s="476"/>
    </row>
    <row r="673" spans="2:23" ht="15.75">
      <c r="B673" s="80"/>
      <c r="C673" s="868" t="s">
        <v>8</v>
      </c>
      <c r="D673" s="868"/>
      <c r="E673" s="868"/>
      <c r="F673" s="868"/>
      <c r="G673" s="98"/>
      <c r="H673" s="97"/>
      <c r="I673" s="303"/>
      <c r="J673" s="88"/>
      <c r="K673" s="306">
        <f>SUM(K669:K672)</f>
        <v>1193537167.9298053</v>
      </c>
      <c r="L673" s="309"/>
      <c r="M673" s="307"/>
      <c r="N673" s="307"/>
      <c r="O673" s="308">
        <f>SUM(O669:O672)</f>
        <v>1193537167.9298053</v>
      </c>
      <c r="P673" s="308">
        <f>SUM(P669:P672)</f>
        <v>0</v>
      </c>
      <c r="Q673" s="308">
        <f>SUM(Q669:Q672)</f>
        <v>1193537167.9298053</v>
      </c>
      <c r="R673" s="305"/>
      <c r="S673" s="305"/>
      <c r="T673" s="305"/>
      <c r="U673" s="506">
        <f>SUM(U669:U672)</f>
        <v>1193537167.9298053</v>
      </c>
    </row>
    <row r="674" spans="2:23" s="82" customFormat="1" ht="15.75">
      <c r="B674" s="83"/>
      <c r="C674" s="867" t="s">
        <v>43</v>
      </c>
      <c r="D674" s="867"/>
      <c r="E674" s="867"/>
      <c r="F674" s="867"/>
      <c r="G674" s="867"/>
      <c r="H674" s="867"/>
      <c r="I674" s="867"/>
      <c r="J674" s="867"/>
      <c r="K674" s="867"/>
      <c r="L674" s="867"/>
      <c r="M674" s="867"/>
      <c r="N674" s="867"/>
      <c r="O674" s="867"/>
      <c r="P674" s="867"/>
      <c r="Q674" s="867"/>
      <c r="R674" s="390"/>
      <c r="S674" s="390"/>
      <c r="T674" s="390"/>
      <c r="U674" s="521"/>
      <c r="V674" s="75"/>
      <c r="W674" s="145"/>
    </row>
    <row r="675" spans="2:23" s="82" customFormat="1" ht="58.9" customHeight="1">
      <c r="B675" s="83"/>
      <c r="C675" s="97" t="s">
        <v>989</v>
      </c>
      <c r="D675" s="387"/>
      <c r="E675" s="387"/>
      <c r="F675" s="387"/>
      <c r="G675" s="98" t="s">
        <v>990</v>
      </c>
      <c r="H675" s="85" t="s">
        <v>25</v>
      </c>
      <c r="I675" s="303">
        <f>+'MEMORIAS DE CANTIDADES'!L3499</f>
        <v>144.98787999999996</v>
      </c>
      <c r="J675" s="114">
        <f>1136435*1.29</f>
        <v>1466001.1500000001</v>
      </c>
      <c r="K675" s="392">
        <f>I675*J675</f>
        <v>212552398.81606197</v>
      </c>
      <c r="L675" s="388"/>
      <c r="M675" s="307">
        <f>+I675</f>
        <v>144.98787999999996</v>
      </c>
      <c r="N675" s="307"/>
      <c r="O675" s="313">
        <f>+M675*J675</f>
        <v>212552398.81606197</v>
      </c>
      <c r="P675" s="313">
        <f t="shared" ref="P675" si="411">+N675*J675</f>
        <v>0</v>
      </c>
      <c r="Q675" s="313">
        <f t="shared" ref="Q675" si="412">+O675-P675</f>
        <v>212552398.81606197</v>
      </c>
      <c r="R675" s="305"/>
      <c r="S675" s="303">
        <f>+M675</f>
        <v>144.98787999999996</v>
      </c>
      <c r="T675" s="304">
        <f>+J675</f>
        <v>1466001.1500000001</v>
      </c>
      <c r="U675" s="501">
        <f t="shared" ref="U675" si="413">+S675*T675</f>
        <v>212552398.81606197</v>
      </c>
      <c r="V675" s="75"/>
      <c r="W675" s="476"/>
    </row>
    <row r="676" spans="2:23" ht="15.75">
      <c r="B676" s="80"/>
      <c r="C676" s="868" t="s">
        <v>8</v>
      </c>
      <c r="D676" s="868"/>
      <c r="E676" s="868"/>
      <c r="F676" s="868"/>
      <c r="G676" s="98"/>
      <c r="H676" s="97"/>
      <c r="I676" s="87"/>
      <c r="J676" s="88"/>
      <c r="K676" s="306">
        <f>SUM(K675:K675)</f>
        <v>212552398.81606197</v>
      </c>
      <c r="L676" s="309"/>
      <c r="M676" s="307"/>
      <c r="N676" s="307"/>
      <c r="O676" s="308">
        <f>SUM(O675)</f>
        <v>212552398.81606197</v>
      </c>
      <c r="P676" s="308">
        <f>SUM(P675)</f>
        <v>0</v>
      </c>
      <c r="Q676" s="308">
        <f>SUM(Q675)</f>
        <v>212552398.81606197</v>
      </c>
      <c r="R676" s="305"/>
      <c r="S676" s="305"/>
      <c r="T676" s="305"/>
      <c r="U676" s="506">
        <f>SUM(U675)</f>
        <v>212552398.81606197</v>
      </c>
    </row>
    <row r="677" spans="2:23" s="82" customFormat="1" ht="15.75">
      <c r="B677" s="83"/>
      <c r="C677" s="867" t="s">
        <v>56</v>
      </c>
      <c r="D677" s="867"/>
      <c r="E677" s="867"/>
      <c r="F677" s="867"/>
      <c r="G677" s="867"/>
      <c r="H677" s="867"/>
      <c r="I677" s="867"/>
      <c r="J677" s="867"/>
      <c r="K677" s="867"/>
      <c r="L677" s="867"/>
      <c r="M677" s="867"/>
      <c r="N677" s="867"/>
      <c r="O677" s="867"/>
      <c r="P677" s="867"/>
      <c r="Q677" s="867"/>
      <c r="R677" s="390"/>
      <c r="S677" s="390"/>
      <c r="T677" s="390"/>
      <c r="U677" s="521"/>
      <c r="V677" s="75"/>
      <c r="W677" s="145"/>
    </row>
    <row r="678" spans="2:23" s="82" customFormat="1" ht="102" customHeight="1">
      <c r="B678" s="83"/>
      <c r="C678" s="97">
        <v>4.0999999999999996</v>
      </c>
      <c r="D678" s="387"/>
      <c r="E678" s="387"/>
      <c r="F678" s="387"/>
      <c r="G678" s="98" t="s">
        <v>991</v>
      </c>
      <c r="H678" s="85" t="s">
        <v>52</v>
      </c>
      <c r="I678" s="303">
        <f>+'MEMORIAS DE CANTIDADES'!L3881</f>
        <v>6153.1</v>
      </c>
      <c r="J678" s="114">
        <v>150625.56</v>
      </c>
      <c r="K678" s="451">
        <f>I678*J678</f>
        <v>926814133.23600006</v>
      </c>
      <c r="L678" s="388"/>
      <c r="M678" s="307">
        <f>+I678</f>
        <v>6153.1</v>
      </c>
      <c r="N678" s="307">
        <f t="shared" ref="N678" si="414">+IF(I678&gt;S678,-S678+I678,0)</f>
        <v>0</v>
      </c>
      <c r="O678" s="313">
        <f t="shared" ref="O678" si="415">+M678*J678</f>
        <v>926814133.23600006</v>
      </c>
      <c r="P678" s="313">
        <f t="shared" ref="P678" si="416">+N678*J678</f>
        <v>0</v>
      </c>
      <c r="Q678" s="313">
        <f t="shared" ref="Q678" si="417">+O678-P678</f>
        <v>926814133.23600006</v>
      </c>
      <c r="R678" s="305"/>
      <c r="S678" s="303">
        <f>+M678</f>
        <v>6153.1</v>
      </c>
      <c r="T678" s="304">
        <f>+J678</f>
        <v>150625.56</v>
      </c>
      <c r="U678" s="501">
        <f t="shared" ref="U678:U679" si="418">+S678*T678</f>
        <v>926814133.23600006</v>
      </c>
      <c r="V678" s="75"/>
      <c r="W678" s="476"/>
    </row>
    <row r="679" spans="2:23" s="82" customFormat="1" ht="111" customHeight="1">
      <c r="B679" s="83"/>
      <c r="C679" s="97">
        <v>4.2</v>
      </c>
      <c r="D679" s="387"/>
      <c r="E679" s="387"/>
      <c r="F679" s="387"/>
      <c r="G679" s="98" t="s">
        <v>1053</v>
      </c>
      <c r="H679" s="85" t="s">
        <v>1045</v>
      </c>
      <c r="I679" s="303">
        <v>510</v>
      </c>
      <c r="J679" s="114">
        <v>1068618.8954983323</v>
      </c>
      <c r="K679" s="451">
        <f>I679*J679</f>
        <v>544995636.70414948</v>
      </c>
      <c r="L679" s="388"/>
      <c r="M679" s="307">
        <f t="shared" ref="M679:M681" si="419">+I679</f>
        <v>510</v>
      </c>
      <c r="N679" s="307">
        <f t="shared" ref="N679:N681" si="420">+IF(I679&gt;S679,-S679+I679,0)</f>
        <v>0</v>
      </c>
      <c r="O679" s="313">
        <f t="shared" ref="O679:O681" si="421">+M679*J679</f>
        <v>544995636.70414948</v>
      </c>
      <c r="P679" s="313">
        <f t="shared" ref="P679:P681" si="422">+N679*J679</f>
        <v>0</v>
      </c>
      <c r="Q679" s="313">
        <f t="shared" ref="Q679:Q681" si="423">+O679-P679</f>
        <v>544995636.70414948</v>
      </c>
      <c r="R679" s="305"/>
      <c r="S679" s="303">
        <f>+M679</f>
        <v>510</v>
      </c>
      <c r="T679" s="304">
        <f>+J679</f>
        <v>1068618.8954983323</v>
      </c>
      <c r="U679" s="501">
        <f t="shared" si="418"/>
        <v>544995636.70414948</v>
      </c>
      <c r="V679" s="75"/>
      <c r="W679" s="476"/>
    </row>
    <row r="680" spans="2:23" s="82" customFormat="1" ht="141" customHeight="1">
      <c r="B680" s="83"/>
      <c r="C680" s="97">
        <v>4.3</v>
      </c>
      <c r="D680" s="387"/>
      <c r="E680" s="387"/>
      <c r="F680" s="387"/>
      <c r="G680" s="98" t="s">
        <v>1151</v>
      </c>
      <c r="H680" s="102" t="s">
        <v>202</v>
      </c>
      <c r="I680" s="478">
        <v>4</v>
      </c>
      <c r="J680" s="304">
        <v>41926220</v>
      </c>
      <c r="K680" s="451">
        <f>I680*J680</f>
        <v>167704880</v>
      </c>
      <c r="L680" s="388"/>
      <c r="M680" s="307">
        <f t="shared" si="419"/>
        <v>4</v>
      </c>
      <c r="N680" s="307">
        <f t="shared" si="420"/>
        <v>0</v>
      </c>
      <c r="O680" s="313">
        <f t="shared" si="421"/>
        <v>167704880</v>
      </c>
      <c r="P680" s="313">
        <f t="shared" si="422"/>
        <v>0</v>
      </c>
      <c r="Q680" s="313">
        <f t="shared" si="423"/>
        <v>167704880</v>
      </c>
      <c r="R680" s="388"/>
      <c r="S680" s="102">
        <f>+I680</f>
        <v>4</v>
      </c>
      <c r="T680" s="404">
        <f>+J680</f>
        <v>41926220</v>
      </c>
      <c r="U680" s="501">
        <f>+S680*T680</f>
        <v>167704880</v>
      </c>
      <c r="V680" s="75"/>
      <c r="W680" s="480"/>
    </row>
    <row r="681" spans="2:23" s="82" customFormat="1" ht="108.6" customHeight="1">
      <c r="B681" s="83"/>
      <c r="C681" s="97">
        <v>4.4000000000000004</v>
      </c>
      <c r="D681" s="387"/>
      <c r="E681" s="387"/>
      <c r="F681" s="387"/>
      <c r="G681" s="98" t="s">
        <v>1152</v>
      </c>
      <c r="H681" s="102" t="s">
        <v>202</v>
      </c>
      <c r="I681" s="478">
        <v>2</v>
      </c>
      <c r="J681" s="304">
        <v>14609628.6</v>
      </c>
      <c r="K681" s="451">
        <f>I681*J681</f>
        <v>29219257.199999999</v>
      </c>
      <c r="L681" s="388"/>
      <c r="M681" s="307">
        <f t="shared" si="419"/>
        <v>2</v>
      </c>
      <c r="N681" s="307">
        <f t="shared" si="420"/>
        <v>0</v>
      </c>
      <c r="O681" s="313">
        <f t="shared" si="421"/>
        <v>29219257.199999999</v>
      </c>
      <c r="P681" s="313">
        <f t="shared" si="422"/>
        <v>0</v>
      </c>
      <c r="Q681" s="313">
        <f t="shared" si="423"/>
        <v>29219257.199999999</v>
      </c>
      <c r="R681" s="388"/>
      <c r="S681" s="102">
        <f>+I681</f>
        <v>2</v>
      </c>
      <c r="T681" s="404">
        <f>+J681</f>
        <v>14609628.6</v>
      </c>
      <c r="U681" s="501">
        <f>+S681*T681</f>
        <v>29219257.199999999</v>
      </c>
      <c r="V681" s="75"/>
      <c r="W681" s="480"/>
    </row>
    <row r="682" spans="2:23" ht="15.75">
      <c r="B682" s="80"/>
      <c r="C682" s="868" t="s">
        <v>8</v>
      </c>
      <c r="D682" s="868"/>
      <c r="E682" s="868"/>
      <c r="F682" s="868"/>
      <c r="G682" s="98"/>
      <c r="H682" s="97"/>
      <c r="I682" s="87"/>
      <c r="J682" s="88"/>
      <c r="K682" s="306">
        <f>SUM(K678:K681)</f>
        <v>1668733907.1401496</v>
      </c>
      <c r="L682" s="309"/>
      <c r="M682" s="307"/>
      <c r="N682" s="307"/>
      <c r="O682" s="308">
        <f>SUM(O678:O681)</f>
        <v>1668733907.1401496</v>
      </c>
      <c r="P682" s="308">
        <f>SUM(P678:P679)</f>
        <v>0</v>
      </c>
      <c r="Q682" s="308">
        <f>SUM(Q678:Q681)</f>
        <v>1668733907.1401496</v>
      </c>
      <c r="R682" s="305"/>
      <c r="S682" s="305"/>
      <c r="T682" s="305"/>
      <c r="U682" s="506">
        <f>SUM(U678:U681)</f>
        <v>1668733907.1401496</v>
      </c>
    </row>
    <row r="683" spans="2:23" s="82" customFormat="1" ht="15.75">
      <c r="B683" s="83"/>
      <c r="C683" s="867" t="s">
        <v>83</v>
      </c>
      <c r="D683" s="867"/>
      <c r="E683" s="867"/>
      <c r="F683" s="867"/>
      <c r="G683" s="867"/>
      <c r="H683" s="867"/>
      <c r="I683" s="867"/>
      <c r="J683" s="867"/>
      <c r="K683" s="867"/>
      <c r="L683" s="867"/>
      <c r="M683" s="867"/>
      <c r="N683" s="867"/>
      <c r="O683" s="867"/>
      <c r="P683" s="867"/>
      <c r="Q683" s="867"/>
      <c r="R683" s="390"/>
      <c r="S683" s="390"/>
      <c r="T683" s="390"/>
      <c r="U683" s="521"/>
      <c r="V683" s="75"/>
      <c r="W683" s="145"/>
    </row>
    <row r="684" spans="2:23" s="82" customFormat="1" ht="58.15" customHeight="1">
      <c r="B684" s="83"/>
      <c r="C684" s="475" t="s">
        <v>992</v>
      </c>
      <c r="D684" s="387"/>
      <c r="E684" s="387"/>
      <c r="F684" s="387"/>
      <c r="G684" s="98" t="s">
        <v>1189</v>
      </c>
      <c r="H684" s="479" t="s">
        <v>65</v>
      </c>
      <c r="I684" s="303">
        <f>+'MEMORIAS DE CANTIDADES'!L4226</f>
        <v>717</v>
      </c>
      <c r="J684" s="114">
        <v>789525.15</v>
      </c>
      <c r="K684" s="392">
        <f>I684*J684</f>
        <v>566089532.55000007</v>
      </c>
      <c r="L684" s="388"/>
      <c r="M684" s="307">
        <f>+I684</f>
        <v>717</v>
      </c>
      <c r="N684" s="307">
        <f t="shared" ref="N684" si="424">+IF(I684&gt;S684,-S684+I684,0)</f>
        <v>0</v>
      </c>
      <c r="O684" s="313">
        <f t="shared" ref="O684" si="425">+M684*J684</f>
        <v>566089532.55000007</v>
      </c>
      <c r="P684" s="313">
        <f t="shared" ref="P684" si="426">+N684*J684</f>
        <v>0</v>
      </c>
      <c r="Q684" s="313">
        <f t="shared" ref="Q684" si="427">+O684-P684</f>
        <v>566089532.55000007</v>
      </c>
      <c r="R684" s="388"/>
      <c r="S684" s="303">
        <f>+M684</f>
        <v>717</v>
      </c>
      <c r="T684" s="404">
        <f>+J684</f>
        <v>789525.15</v>
      </c>
      <c r="U684" s="501">
        <f>+S684*T684</f>
        <v>566089532.55000007</v>
      </c>
      <c r="V684" s="75"/>
      <c r="W684" s="476"/>
    </row>
    <row r="685" spans="2:23" s="82" customFormat="1" ht="67.150000000000006" customHeight="1">
      <c r="B685" s="83"/>
      <c r="C685" s="475" t="s">
        <v>993</v>
      </c>
      <c r="D685" s="387"/>
      <c r="E685" s="387"/>
      <c r="F685" s="387"/>
      <c r="G685" s="98" t="s">
        <v>994</v>
      </c>
      <c r="H685" s="85" t="s">
        <v>21</v>
      </c>
      <c r="I685" s="303">
        <f>(553.15+240.6+217.6)*2</f>
        <v>2022.7</v>
      </c>
      <c r="J685" s="114">
        <v>18541.169999999998</v>
      </c>
      <c r="K685" s="392">
        <f>I685*J685</f>
        <v>37503224.559</v>
      </c>
      <c r="L685" s="388"/>
      <c r="M685" s="307">
        <f t="shared" ref="M685:M686" si="428">+I685</f>
        <v>2022.7</v>
      </c>
      <c r="N685" s="307">
        <f t="shared" ref="N685:N686" si="429">+IF(I685&gt;S685,-S685+I685,0)</f>
        <v>0</v>
      </c>
      <c r="O685" s="313">
        <f t="shared" ref="O685:O686" si="430">+M685*J685</f>
        <v>37503224.559</v>
      </c>
      <c r="P685" s="313">
        <f t="shared" ref="P685:P686" si="431">+N685*J685</f>
        <v>0</v>
      </c>
      <c r="Q685" s="313">
        <f t="shared" ref="Q685:Q686" si="432">+O685-P685</f>
        <v>37503224.559</v>
      </c>
      <c r="R685" s="388"/>
      <c r="S685" s="303">
        <f>+M685</f>
        <v>2022.7</v>
      </c>
      <c r="T685" s="404">
        <f>+J685</f>
        <v>18541.169999999998</v>
      </c>
      <c r="U685" s="501">
        <f>+S685*T685</f>
        <v>37503224.559</v>
      </c>
      <c r="V685" s="75"/>
      <c r="W685" s="476"/>
    </row>
    <row r="686" spans="2:23" s="82" customFormat="1" ht="60.6" customHeight="1">
      <c r="B686" s="83"/>
      <c r="C686" s="475" t="s">
        <v>1014</v>
      </c>
      <c r="D686" s="387"/>
      <c r="E686" s="387"/>
      <c r="F686" s="387"/>
      <c r="G686" s="98" t="s">
        <v>990</v>
      </c>
      <c r="H686" s="85" t="s">
        <v>25</v>
      </c>
      <c r="I686" s="303">
        <f>+'MEMORIAS DE CANTIDADES'!L4144</f>
        <v>174.11750000000001</v>
      </c>
      <c r="J686" s="114">
        <f>+J675</f>
        <v>1466001.1500000001</v>
      </c>
      <c r="K686" s="392">
        <f>I686*J686</f>
        <v>255256455.23512504</v>
      </c>
      <c r="L686" s="388"/>
      <c r="M686" s="307">
        <f t="shared" si="428"/>
        <v>174.11750000000001</v>
      </c>
      <c r="N686" s="307">
        <f t="shared" si="429"/>
        <v>0</v>
      </c>
      <c r="O686" s="313">
        <f t="shared" si="430"/>
        <v>255256455.23512504</v>
      </c>
      <c r="P686" s="313">
        <f t="shared" si="431"/>
        <v>0</v>
      </c>
      <c r="Q686" s="313">
        <f t="shared" si="432"/>
        <v>255256455.23512504</v>
      </c>
      <c r="R686" s="388"/>
      <c r="S686" s="303">
        <f>+M686</f>
        <v>174.11750000000001</v>
      </c>
      <c r="T686" s="404">
        <f>+J686</f>
        <v>1466001.1500000001</v>
      </c>
      <c r="U686" s="501">
        <f>+S686*T686</f>
        <v>255256455.23512504</v>
      </c>
      <c r="V686" s="75"/>
      <c r="W686" s="476"/>
    </row>
    <row r="687" spans="2:23" s="82" customFormat="1" ht="15.75">
      <c r="B687" s="83"/>
      <c r="C687" s="868" t="s">
        <v>8</v>
      </c>
      <c r="D687" s="868"/>
      <c r="E687" s="868"/>
      <c r="F687" s="868"/>
      <c r="G687" s="387"/>
      <c r="H687" s="387"/>
      <c r="I687" s="387"/>
      <c r="J687" s="387"/>
      <c r="K687" s="306">
        <f>SUM(K684:K686)</f>
        <v>858849212.34412515</v>
      </c>
      <c r="L687" s="388"/>
      <c r="M687" s="388"/>
      <c r="N687" s="388"/>
      <c r="O687" s="308">
        <f>SUM(O684:O686)</f>
        <v>858849212.34412515</v>
      </c>
      <c r="P687" s="308">
        <f>SUM(P684:P686)</f>
        <v>0</v>
      </c>
      <c r="Q687" s="308">
        <f>SUM(Q684:Q686)</f>
        <v>858849212.34412515</v>
      </c>
      <c r="R687" s="305"/>
      <c r="S687" s="305"/>
      <c r="T687" s="305"/>
      <c r="U687" s="506">
        <f>SUM(U684:U686)</f>
        <v>858849212.34412515</v>
      </c>
      <c r="V687" s="75"/>
      <c r="W687" s="145"/>
    </row>
    <row r="688" spans="2:23" s="82" customFormat="1" ht="22.9" customHeight="1">
      <c r="B688" s="83"/>
      <c r="C688" s="867" t="s">
        <v>99</v>
      </c>
      <c r="D688" s="867"/>
      <c r="E688" s="867"/>
      <c r="F688" s="867"/>
      <c r="G688" s="867"/>
      <c r="H688" s="867"/>
      <c r="I688" s="867"/>
      <c r="J688" s="867"/>
      <c r="K688" s="867"/>
      <c r="L688" s="867"/>
      <c r="M688" s="867"/>
      <c r="N688" s="867"/>
      <c r="O688" s="867"/>
      <c r="P688" s="867"/>
      <c r="Q688" s="867"/>
      <c r="R688" s="589"/>
      <c r="S688" s="589"/>
      <c r="T688" s="589"/>
      <c r="U688" s="500"/>
      <c r="V688" s="75"/>
      <c r="W688" s="145"/>
    </row>
    <row r="689" spans="2:23" s="82" customFormat="1" ht="45">
      <c r="B689" s="83"/>
      <c r="C689" s="106">
        <v>8.1</v>
      </c>
      <c r="D689" s="97"/>
      <c r="E689" s="97"/>
      <c r="F689" s="97"/>
      <c r="G689" s="98" t="s">
        <v>1157</v>
      </c>
      <c r="H689" s="97" t="s">
        <v>29</v>
      </c>
      <c r="I689" s="113">
        <v>1</v>
      </c>
      <c r="J689" s="114">
        <v>53825115.663270004</v>
      </c>
      <c r="K689" s="253">
        <f t="shared" ref="K689" si="433">I689*J689</f>
        <v>53825115.663270004</v>
      </c>
      <c r="L689" s="315"/>
      <c r="M689" s="307">
        <f>+I689</f>
        <v>1</v>
      </c>
      <c r="N689" s="307">
        <f t="shared" ref="N689" si="434">+IF(I689&gt;S689,-S689+I689,0)</f>
        <v>0</v>
      </c>
      <c r="O689" s="313">
        <f t="shared" ref="O689" si="435">+M689*J689</f>
        <v>53825115.663270004</v>
      </c>
      <c r="P689" s="313">
        <f t="shared" ref="P689" si="436">+N689*J689</f>
        <v>0</v>
      </c>
      <c r="Q689" s="313">
        <f t="shared" ref="Q689" si="437">+O689-P689</f>
        <v>53825115.663270004</v>
      </c>
      <c r="R689" s="244"/>
      <c r="S689" s="303">
        <f>+I689</f>
        <v>1</v>
      </c>
      <c r="T689" s="304">
        <f t="shared" ref="T689" si="438">+J689</f>
        <v>53825115.663270004</v>
      </c>
      <c r="U689" s="501">
        <f t="shared" ref="U689" si="439">+S689*T689</f>
        <v>53825115.663270004</v>
      </c>
      <c r="V689" s="75"/>
      <c r="W689" s="145"/>
    </row>
    <row r="690" spans="2:23" s="82" customFormat="1" ht="15.75">
      <c r="B690" s="83"/>
      <c r="C690" s="868" t="s">
        <v>8</v>
      </c>
      <c r="D690" s="868"/>
      <c r="E690" s="868"/>
      <c r="F690" s="868"/>
      <c r="G690" s="387"/>
      <c r="H690" s="387"/>
      <c r="I690" s="387"/>
      <c r="J690" s="387"/>
      <c r="K690" s="306">
        <f>SUM(K689:K689)</f>
        <v>53825115.663270004</v>
      </c>
      <c r="L690" s="388"/>
      <c r="M690" s="388"/>
      <c r="N690" s="388"/>
      <c r="O690" s="308">
        <f>SUM(O689:O689)</f>
        <v>53825115.663270004</v>
      </c>
      <c r="P690" s="308"/>
      <c r="Q690" s="308">
        <f>SUM(Q689:Q689)</f>
        <v>53825115.663270004</v>
      </c>
      <c r="R690" s="305"/>
      <c r="S690" s="305"/>
      <c r="T690" s="305"/>
      <c r="U690" s="506">
        <f>SUM(U689:U689)</f>
        <v>53825115.663270004</v>
      </c>
      <c r="V690" s="75"/>
      <c r="W690" s="145"/>
    </row>
    <row r="691" spans="2:23" ht="30" customHeight="1">
      <c r="B691" s="80"/>
      <c r="C691" s="952" t="s">
        <v>178</v>
      </c>
      <c r="D691" s="889"/>
      <c r="E691" s="889"/>
      <c r="F691" s="889"/>
      <c r="G691" s="889"/>
      <c r="H691" s="889"/>
      <c r="I691" s="889"/>
      <c r="J691" s="889"/>
      <c r="K691" s="889"/>
      <c r="L691" s="889"/>
      <c r="M691" s="889"/>
      <c r="N691" s="889"/>
      <c r="O691" s="889"/>
      <c r="P691" s="889"/>
      <c r="Q691" s="889"/>
      <c r="R691" s="589"/>
      <c r="S691" s="589"/>
      <c r="T691" s="589"/>
      <c r="U691" s="500"/>
    </row>
    <row r="692" spans="2:23" ht="45">
      <c r="B692" s="80"/>
      <c r="C692" s="106">
        <v>10.1</v>
      </c>
      <c r="D692" s="97"/>
      <c r="E692" s="85"/>
      <c r="F692" s="97"/>
      <c r="G692" s="98" t="s">
        <v>1150</v>
      </c>
      <c r="H692" s="97" t="s">
        <v>21</v>
      </c>
      <c r="I692" s="113">
        <f>+'MEMORIAS DE CANTIDADES'!L4756</f>
        <v>101.935</v>
      </c>
      <c r="J692" s="114">
        <v>1216504.6299999999</v>
      </c>
      <c r="K692" s="253">
        <f t="shared" ref="K692:K694" si="440">I692*J692</f>
        <v>124004399.45904998</v>
      </c>
      <c r="L692" s="315"/>
      <c r="M692" s="307">
        <f>+I692</f>
        <v>101.935</v>
      </c>
      <c r="N692" s="307">
        <f t="shared" ref="N692" si="441">+IF(I692&gt;S692,-S692+I692,0)</f>
        <v>0</v>
      </c>
      <c r="O692" s="313">
        <f t="shared" ref="O692" si="442">+M692*J692</f>
        <v>124004399.45904998</v>
      </c>
      <c r="P692" s="313">
        <f t="shared" ref="P692" si="443">+N692*J692</f>
        <v>0</v>
      </c>
      <c r="Q692" s="313">
        <f t="shared" ref="Q692" si="444">+O692-P692</f>
        <v>124004399.45904998</v>
      </c>
      <c r="R692" s="244"/>
      <c r="S692" s="303">
        <f>+I692</f>
        <v>101.935</v>
      </c>
      <c r="T692" s="304">
        <f t="shared" ref="T692:T694" si="445">+J692</f>
        <v>1216504.6299999999</v>
      </c>
      <c r="U692" s="501">
        <f t="shared" ref="U692:U694" si="446">+S692*T692</f>
        <v>124004399.45904998</v>
      </c>
      <c r="V692" s="75">
        <f>+U692+U693+U694</f>
        <v>241716942.55904999</v>
      </c>
    </row>
    <row r="693" spans="2:23" ht="45">
      <c r="B693" s="80"/>
      <c r="C693" s="106">
        <v>10.199999999999999</v>
      </c>
      <c r="D693" s="97"/>
      <c r="E693" s="85"/>
      <c r="F693" s="97"/>
      <c r="G693" s="98" t="s">
        <v>1190</v>
      </c>
      <c r="H693" s="97" t="s">
        <v>29</v>
      </c>
      <c r="I693" s="113">
        <f>+'MEMORIAS DE CANTIDADES'!L4770</f>
        <v>62</v>
      </c>
      <c r="J693" s="114">
        <v>1515120.73</v>
      </c>
      <c r="K693" s="253">
        <f t="shared" si="440"/>
        <v>93937485.260000005</v>
      </c>
      <c r="L693" s="315"/>
      <c r="M693" s="307">
        <f t="shared" ref="M693:M694" si="447">+I693</f>
        <v>62</v>
      </c>
      <c r="N693" s="307">
        <f t="shared" ref="N693:N694" si="448">+IF(I693&gt;S693,-S693+I693,0)</f>
        <v>0</v>
      </c>
      <c r="O693" s="313">
        <f t="shared" ref="O693:O694" si="449">+M693*J693</f>
        <v>93937485.260000005</v>
      </c>
      <c r="P693" s="313">
        <f t="shared" ref="P693:P694" si="450">+N693*J693</f>
        <v>0</v>
      </c>
      <c r="Q693" s="313">
        <f t="shared" ref="Q693:Q694" si="451">+O693-P693</f>
        <v>93937485.260000005</v>
      </c>
      <c r="R693" s="244"/>
      <c r="S693" s="303">
        <f>+I693</f>
        <v>62</v>
      </c>
      <c r="T693" s="304">
        <f t="shared" si="445"/>
        <v>1515120.73</v>
      </c>
      <c r="U693" s="501">
        <f t="shared" si="446"/>
        <v>93937485.260000005</v>
      </c>
    </row>
    <row r="694" spans="2:23" ht="38.450000000000003" customHeight="1">
      <c r="B694" s="80"/>
      <c r="C694" s="106">
        <v>10.3</v>
      </c>
      <c r="D694" s="97"/>
      <c r="E694" s="85"/>
      <c r="F694" s="97"/>
      <c r="G694" s="98" t="s">
        <v>1193</v>
      </c>
      <c r="H694" s="97" t="s">
        <v>29</v>
      </c>
      <c r="I694" s="113">
        <f>+'MEMORIAS DE CANTIDADES'!L4784</f>
        <v>24</v>
      </c>
      <c r="J694" s="114">
        <v>990627.41</v>
      </c>
      <c r="K694" s="253">
        <f t="shared" si="440"/>
        <v>23775057.84</v>
      </c>
      <c r="L694" s="315"/>
      <c r="M694" s="307">
        <f t="shared" si="447"/>
        <v>24</v>
      </c>
      <c r="N694" s="307">
        <f t="shared" si="448"/>
        <v>0</v>
      </c>
      <c r="O694" s="313">
        <f t="shared" si="449"/>
        <v>23775057.84</v>
      </c>
      <c r="P694" s="313">
        <f t="shared" si="450"/>
        <v>0</v>
      </c>
      <c r="Q694" s="313">
        <f t="shared" si="451"/>
        <v>23775057.84</v>
      </c>
      <c r="R694" s="244"/>
      <c r="S694" s="303">
        <f>+I694</f>
        <v>24</v>
      </c>
      <c r="T694" s="304">
        <f t="shared" si="445"/>
        <v>990627.41</v>
      </c>
      <c r="U694" s="501">
        <f t="shared" si="446"/>
        <v>23775057.84</v>
      </c>
    </row>
    <row r="695" spans="2:23" s="82" customFormat="1" ht="15.75">
      <c r="B695" s="83"/>
      <c r="C695" s="868" t="s">
        <v>8</v>
      </c>
      <c r="D695" s="868"/>
      <c r="E695" s="868"/>
      <c r="F695" s="868"/>
      <c r="G695" s="387"/>
      <c r="H695" s="387"/>
      <c r="I695" s="387"/>
      <c r="J695" s="387"/>
      <c r="K695" s="306">
        <f>SUM(K692:K694)</f>
        <v>241716942.55904999</v>
      </c>
      <c r="L695" s="388"/>
      <c r="M695" s="388"/>
      <c r="N695" s="388"/>
      <c r="O695" s="308">
        <f>SUM(O692:O694)</f>
        <v>241716942.55904999</v>
      </c>
      <c r="P695" s="308"/>
      <c r="Q695" s="308">
        <f>SUM(Q692:Q694)</f>
        <v>241716942.55904999</v>
      </c>
      <c r="R695" s="305"/>
      <c r="S695" s="305"/>
      <c r="T695" s="305"/>
      <c r="U695" s="506">
        <f>SUM(U692:U694)</f>
        <v>241716942.55904999</v>
      </c>
      <c r="V695" s="75"/>
      <c r="W695" s="145"/>
    </row>
    <row r="696" spans="2:23" ht="30" customHeight="1">
      <c r="B696" s="80"/>
      <c r="C696" s="867" t="s">
        <v>200</v>
      </c>
      <c r="D696" s="867"/>
      <c r="E696" s="867"/>
      <c r="F696" s="867"/>
      <c r="G696" s="867"/>
      <c r="H696" s="867"/>
      <c r="I696" s="867"/>
      <c r="J696" s="867"/>
      <c r="K696" s="867"/>
      <c r="L696" s="867"/>
      <c r="M696" s="867"/>
      <c r="N696" s="867"/>
      <c r="O696" s="867"/>
      <c r="P696" s="867"/>
      <c r="Q696" s="867"/>
      <c r="R696" s="390"/>
      <c r="S696" s="390"/>
      <c r="T696" s="390"/>
      <c r="U696" s="521"/>
    </row>
    <row r="697" spans="2:23" ht="144" customHeight="1">
      <c r="B697" s="80"/>
      <c r="C697" s="472">
        <v>12.1</v>
      </c>
      <c r="D697" s="97"/>
      <c r="E697" s="97"/>
      <c r="F697" s="97"/>
      <c r="G697" s="98" t="s">
        <v>857</v>
      </c>
      <c r="H697" s="102" t="s">
        <v>153</v>
      </c>
      <c r="I697" s="303">
        <v>1</v>
      </c>
      <c r="J697" s="114">
        <v>63178549.799999997</v>
      </c>
      <c r="K697" s="253">
        <f t="shared" ref="K697:K699" si="452">I697*J697</f>
        <v>63178549.799999997</v>
      </c>
      <c r="L697" s="315"/>
      <c r="M697" s="307">
        <f>+I697</f>
        <v>1</v>
      </c>
      <c r="N697" s="307">
        <f t="shared" ref="N697" si="453">+IF(I697&gt;S697,-S697+I697,0)</f>
        <v>0</v>
      </c>
      <c r="O697" s="313">
        <f t="shared" ref="O697" si="454">+M697*J697</f>
        <v>63178549.799999997</v>
      </c>
      <c r="P697" s="313">
        <f t="shared" ref="P697" si="455">+N697*J697</f>
        <v>0</v>
      </c>
      <c r="Q697" s="313">
        <f t="shared" ref="Q697" si="456">+O697-P697</f>
        <v>63178549.799999997</v>
      </c>
      <c r="R697" s="388"/>
      <c r="S697" s="303">
        <f>+M697</f>
        <v>1</v>
      </c>
      <c r="T697" s="404">
        <f>+J697</f>
        <v>63178549.799999997</v>
      </c>
      <c r="U697" s="501">
        <f>+S697*T697</f>
        <v>63178549.799999997</v>
      </c>
    </row>
    <row r="698" spans="2:23" ht="89.45" customHeight="1">
      <c r="B698" s="80"/>
      <c r="C698" s="472">
        <v>12.2</v>
      </c>
      <c r="D698" s="97"/>
      <c r="E698" s="97"/>
      <c r="F698" s="97"/>
      <c r="G698" s="98" t="s">
        <v>855</v>
      </c>
      <c r="H698" s="97" t="s">
        <v>202</v>
      </c>
      <c r="I698" s="303">
        <v>28</v>
      </c>
      <c r="J698" s="114">
        <v>12374286.858070038</v>
      </c>
      <c r="K698" s="253">
        <f t="shared" si="452"/>
        <v>346480032.02596104</v>
      </c>
      <c r="L698" s="315"/>
      <c r="M698" s="307">
        <f t="shared" ref="M698:M700" si="457">+I698</f>
        <v>28</v>
      </c>
      <c r="N698" s="307">
        <f t="shared" ref="N698:N700" si="458">+IF(I698&gt;S698,-S698+I698,0)</f>
        <v>0</v>
      </c>
      <c r="O698" s="313">
        <f t="shared" ref="O698:O700" si="459">+M698*J698</f>
        <v>346480032.02596104</v>
      </c>
      <c r="P698" s="313">
        <f t="shared" ref="P698:P700" si="460">+N698*J698</f>
        <v>0</v>
      </c>
      <c r="Q698" s="313">
        <f t="shared" ref="Q698:Q700" si="461">+O698-P698</f>
        <v>346480032.02596104</v>
      </c>
      <c r="R698" s="388"/>
      <c r="S698" s="303">
        <f>+M698</f>
        <v>28</v>
      </c>
      <c r="T698" s="404">
        <f t="shared" ref="T698:T699" si="462">+J698</f>
        <v>12374286.858070038</v>
      </c>
      <c r="U698" s="501">
        <f t="shared" ref="U698:U699" si="463">+S698*T698</f>
        <v>346480032.02596104</v>
      </c>
    </row>
    <row r="699" spans="2:23" ht="84" customHeight="1">
      <c r="B699" s="80"/>
      <c r="C699" s="472">
        <v>12.3</v>
      </c>
      <c r="D699" s="97"/>
      <c r="E699" s="97"/>
      <c r="F699" s="97"/>
      <c r="G699" s="98" t="s">
        <v>856</v>
      </c>
      <c r="H699" s="97" t="s">
        <v>202</v>
      </c>
      <c r="I699" s="303">
        <v>11</v>
      </c>
      <c r="J699" s="114">
        <v>6853396.7971848454</v>
      </c>
      <c r="K699" s="253">
        <f t="shared" si="452"/>
        <v>75387364.769033298</v>
      </c>
      <c r="L699" s="315"/>
      <c r="M699" s="307">
        <f t="shared" si="457"/>
        <v>11</v>
      </c>
      <c r="N699" s="307">
        <f t="shared" si="458"/>
        <v>0</v>
      </c>
      <c r="O699" s="313">
        <f t="shared" si="459"/>
        <v>75387364.769033298</v>
      </c>
      <c r="P699" s="313">
        <f t="shared" si="460"/>
        <v>0</v>
      </c>
      <c r="Q699" s="313">
        <f t="shared" si="461"/>
        <v>75387364.769033298</v>
      </c>
      <c r="R699" s="388"/>
      <c r="S699" s="303">
        <f t="shared" ref="S699" si="464">+M699</f>
        <v>11</v>
      </c>
      <c r="T699" s="404">
        <f t="shared" si="462"/>
        <v>6853396.7971848454</v>
      </c>
      <c r="U699" s="501">
        <f t="shared" si="463"/>
        <v>75387364.769033298</v>
      </c>
    </row>
    <row r="700" spans="2:23" ht="181.15" customHeight="1">
      <c r="B700" s="80"/>
      <c r="C700" s="472">
        <v>12.4</v>
      </c>
      <c r="D700" s="473"/>
      <c r="E700" s="473"/>
      <c r="F700" s="473"/>
      <c r="G700" s="98" t="s">
        <v>1022</v>
      </c>
      <c r="H700" s="102" t="s">
        <v>276</v>
      </c>
      <c r="I700" s="474">
        <v>1</v>
      </c>
      <c r="J700" s="114">
        <v>291382274.27999997</v>
      </c>
      <c r="K700" s="392">
        <f>I700*J700</f>
        <v>291382274.27999997</v>
      </c>
      <c r="L700" s="388"/>
      <c r="M700" s="307">
        <f t="shared" si="457"/>
        <v>1</v>
      </c>
      <c r="N700" s="307">
        <f t="shared" si="458"/>
        <v>0</v>
      </c>
      <c r="O700" s="313">
        <f t="shared" si="459"/>
        <v>291382274.27999997</v>
      </c>
      <c r="P700" s="313">
        <f t="shared" si="460"/>
        <v>0</v>
      </c>
      <c r="Q700" s="313">
        <f t="shared" si="461"/>
        <v>291382274.27999997</v>
      </c>
      <c r="R700" s="388"/>
      <c r="S700" s="303">
        <v>1</v>
      </c>
      <c r="T700" s="404">
        <f>+J700</f>
        <v>291382274.27999997</v>
      </c>
      <c r="U700" s="501">
        <f>+S700*T700</f>
        <v>291382274.27999997</v>
      </c>
    </row>
    <row r="701" spans="2:23" ht="15.75">
      <c r="B701" s="80"/>
      <c r="C701" s="868" t="s">
        <v>8</v>
      </c>
      <c r="D701" s="868"/>
      <c r="E701" s="868"/>
      <c r="F701" s="868"/>
      <c r="G701" s="387"/>
      <c r="H701" s="387"/>
      <c r="I701" s="387"/>
      <c r="J701" s="387"/>
      <c r="K701" s="306">
        <f>SUM(K697:K700)</f>
        <v>776428220.87499428</v>
      </c>
      <c r="L701" s="388"/>
      <c r="M701" s="388"/>
      <c r="N701" s="388"/>
      <c r="O701" s="308">
        <f>SUM(O697:O700)</f>
        <v>776428220.87499428</v>
      </c>
      <c r="P701" s="308">
        <f>SUM(P696:P697)</f>
        <v>0</v>
      </c>
      <c r="Q701" s="308">
        <f>SUM(Q697:Q700)</f>
        <v>776428220.87499428</v>
      </c>
      <c r="R701" s="305"/>
      <c r="S701" s="305"/>
      <c r="T701" s="305"/>
      <c r="U701" s="506">
        <f>SUM(U697:U700)</f>
        <v>776428220.87499428</v>
      </c>
    </row>
    <row r="702" spans="2:23" ht="30" customHeight="1">
      <c r="B702" s="80"/>
      <c r="C702" s="867" t="s">
        <v>277</v>
      </c>
      <c r="D702" s="867"/>
      <c r="E702" s="867"/>
      <c r="F702" s="867"/>
      <c r="G702" s="867"/>
      <c r="H702" s="867"/>
      <c r="I702" s="867"/>
      <c r="J702" s="867"/>
      <c r="K702" s="867"/>
      <c r="L702" s="867"/>
      <c r="M702" s="867"/>
      <c r="N702" s="867"/>
      <c r="O702" s="867"/>
      <c r="P702" s="867"/>
      <c r="Q702" s="867"/>
      <c r="R702" s="391"/>
      <c r="S702" s="391"/>
      <c r="T702" s="391"/>
      <c r="U702" s="522"/>
    </row>
    <row r="703" spans="2:23" s="82" customFormat="1" ht="30">
      <c r="B703" s="83"/>
      <c r="C703" s="475" t="s">
        <v>995</v>
      </c>
      <c r="D703" s="387"/>
      <c r="E703" s="387"/>
      <c r="F703" s="387"/>
      <c r="G703" s="98" t="s">
        <v>998</v>
      </c>
      <c r="H703" s="102" t="s">
        <v>267</v>
      </c>
      <c r="I703" s="474">
        <f>162+24*4+30</f>
        <v>288</v>
      </c>
      <c r="J703" s="304">
        <v>1134382.22</v>
      </c>
      <c r="K703" s="304">
        <f>+I703*J703</f>
        <v>326702079.36000001</v>
      </c>
      <c r="L703" s="388"/>
      <c r="M703" s="307">
        <f>+I703</f>
        <v>288</v>
      </c>
      <c r="N703" s="307"/>
      <c r="O703" s="313">
        <f>+M703*J703</f>
        <v>326702079.36000001</v>
      </c>
      <c r="P703" s="313">
        <f t="shared" ref="P703" si="465">+N703*J703</f>
        <v>0</v>
      </c>
      <c r="Q703" s="313">
        <f t="shared" ref="Q703:Q740" si="466">+O703-P703</f>
        <v>326702079.36000001</v>
      </c>
      <c r="R703" s="305"/>
      <c r="S703" s="303">
        <f>+M703</f>
        <v>288</v>
      </c>
      <c r="T703" s="304">
        <f>+J703</f>
        <v>1134382.22</v>
      </c>
      <c r="U703" s="501">
        <f>+S703*T703</f>
        <v>326702079.36000001</v>
      </c>
      <c r="V703" s="75"/>
      <c r="W703" s="476"/>
    </row>
    <row r="704" spans="2:23" s="82" customFormat="1" ht="24" customHeight="1">
      <c r="B704" s="83"/>
      <c r="C704" s="475" t="s">
        <v>1043</v>
      </c>
      <c r="D704" s="387"/>
      <c r="E704" s="387"/>
      <c r="F704" s="387"/>
      <c r="G704" s="98" t="s">
        <v>1046</v>
      </c>
      <c r="H704" s="102" t="s">
        <v>65</v>
      </c>
      <c r="I704" s="477">
        <f>+'MEMORIAS DE CANTIDADES'!L5286</f>
        <v>2612.69</v>
      </c>
      <c r="J704" s="304">
        <v>129882.36</v>
      </c>
      <c r="K704" s="451">
        <f>I704*J704</f>
        <v>339342343.14840001</v>
      </c>
      <c r="L704" s="388"/>
      <c r="M704" s="307">
        <f t="shared" ref="M704:M746" si="467">+I704</f>
        <v>2612.69</v>
      </c>
      <c r="N704" s="307">
        <f>+IF(I704&gt;S704,-S704+I704,0)</f>
        <v>0</v>
      </c>
      <c r="O704" s="313">
        <f>+M704*J704</f>
        <v>339342343.14840001</v>
      </c>
      <c r="P704" s="313">
        <f>+N704*J704</f>
        <v>0</v>
      </c>
      <c r="Q704" s="313">
        <f t="shared" si="466"/>
        <v>339342343.14840001</v>
      </c>
      <c r="R704" s="388"/>
      <c r="S704" s="303">
        <f t="shared" ref="S704:S746" si="468">+M704</f>
        <v>2612.69</v>
      </c>
      <c r="T704" s="304">
        <f>+J704</f>
        <v>129882.36</v>
      </c>
      <c r="U704" s="501">
        <f t="shared" ref="U704:U739" si="469">+S704*T704</f>
        <v>339342343.14840001</v>
      </c>
      <c r="V704" s="75"/>
      <c r="W704" s="476"/>
    </row>
    <row r="705" spans="2:23" s="82" customFormat="1" ht="45.6" customHeight="1">
      <c r="B705" s="83"/>
      <c r="C705" s="475" t="s">
        <v>1044</v>
      </c>
      <c r="D705" s="387"/>
      <c r="E705" s="387"/>
      <c r="F705" s="387"/>
      <c r="G705" s="98" t="s">
        <v>1048</v>
      </c>
      <c r="H705" s="102" t="s">
        <v>153</v>
      </c>
      <c r="I705" s="474">
        <v>1</v>
      </c>
      <c r="J705" s="304">
        <v>116123583.78</v>
      </c>
      <c r="K705" s="451">
        <f t="shared" ref="K705:K746" si="470">I705*J705</f>
        <v>116123583.78</v>
      </c>
      <c r="L705" s="388"/>
      <c r="M705" s="307">
        <f t="shared" si="467"/>
        <v>1</v>
      </c>
      <c r="N705" s="307">
        <f t="shared" ref="N705:N740" si="471">+IF(I705&gt;S705,-S705+I705,0)</f>
        <v>0</v>
      </c>
      <c r="O705" s="313">
        <f t="shared" ref="O705:O740" si="472">+M705*J705</f>
        <v>116123583.78</v>
      </c>
      <c r="P705" s="313">
        <f t="shared" ref="P705:P740" si="473">+N705*J705</f>
        <v>0</v>
      </c>
      <c r="Q705" s="313">
        <f t="shared" si="466"/>
        <v>116123583.78</v>
      </c>
      <c r="R705" s="388"/>
      <c r="S705" s="303">
        <f t="shared" si="468"/>
        <v>1</v>
      </c>
      <c r="T705" s="304">
        <f t="shared" ref="T705" si="474">+J705</f>
        <v>116123583.78</v>
      </c>
      <c r="U705" s="501">
        <f t="shared" si="469"/>
        <v>116123583.78</v>
      </c>
      <c r="V705" s="75"/>
      <c r="W705" s="476"/>
    </row>
    <row r="706" spans="2:23" s="82" customFormat="1" ht="45.6" customHeight="1">
      <c r="B706" s="83"/>
      <c r="C706" s="475" t="s">
        <v>1047</v>
      </c>
      <c r="D706" s="387"/>
      <c r="E706" s="387"/>
      <c r="F706" s="387"/>
      <c r="G706" s="98" t="s">
        <v>1159</v>
      </c>
      <c r="H706" s="102" t="s">
        <v>21</v>
      </c>
      <c r="I706" s="477">
        <f>+'MEMORIAS DE CANTIDADES'!L5313</f>
        <v>1946</v>
      </c>
      <c r="J706" s="304">
        <v>127776.7</v>
      </c>
      <c r="K706" s="451">
        <f t="shared" si="470"/>
        <v>248653458.19999999</v>
      </c>
      <c r="L706" s="388"/>
      <c r="M706" s="307">
        <f t="shared" si="467"/>
        <v>1946</v>
      </c>
      <c r="N706" s="307">
        <f t="shared" ref="N706" si="475">+IF(I706&gt;S706,-S706+I706,0)</f>
        <v>0</v>
      </c>
      <c r="O706" s="313">
        <f t="shared" ref="O706" si="476">+M706*J706</f>
        <v>248653458.19999999</v>
      </c>
      <c r="P706" s="313">
        <f t="shared" ref="P706" si="477">+N706*J706</f>
        <v>0</v>
      </c>
      <c r="Q706" s="313">
        <f t="shared" ref="Q706" si="478">+O706-P706</f>
        <v>248653458.19999999</v>
      </c>
      <c r="R706" s="388"/>
      <c r="S706" s="303">
        <f t="shared" si="468"/>
        <v>1946</v>
      </c>
      <c r="T706" s="304">
        <f t="shared" ref="T706" si="479">+J706</f>
        <v>127776.7</v>
      </c>
      <c r="U706" s="501">
        <f t="shared" ref="U706" si="480">+S706*T706</f>
        <v>248653458.19999999</v>
      </c>
      <c r="V706" s="75"/>
      <c r="W706" s="476"/>
    </row>
    <row r="707" spans="2:23" s="82" customFormat="1" ht="53.25">
      <c r="B707" s="83"/>
      <c r="C707" s="475" t="s">
        <v>1112</v>
      </c>
      <c r="D707" s="387"/>
      <c r="E707" s="387"/>
      <c r="F707" s="387"/>
      <c r="G707" s="98" t="s">
        <v>1060</v>
      </c>
      <c r="H707" s="102" t="s">
        <v>267</v>
      </c>
      <c r="I707" s="478">
        <v>2</v>
      </c>
      <c r="J707" s="304">
        <v>4739464.17</v>
      </c>
      <c r="K707" s="451">
        <f t="shared" si="470"/>
        <v>9478928.3399999999</v>
      </c>
      <c r="L707" s="388"/>
      <c r="M707" s="307">
        <f t="shared" si="467"/>
        <v>2</v>
      </c>
      <c r="N707" s="307">
        <f t="shared" si="471"/>
        <v>0</v>
      </c>
      <c r="O707" s="313">
        <f t="shared" si="472"/>
        <v>9478928.3399999999</v>
      </c>
      <c r="P707" s="313">
        <f t="shared" si="473"/>
        <v>0</v>
      </c>
      <c r="Q707" s="313">
        <f t="shared" si="466"/>
        <v>9478928.3399999999</v>
      </c>
      <c r="R707" s="388"/>
      <c r="S707" s="303">
        <f t="shared" si="468"/>
        <v>2</v>
      </c>
      <c r="T707" s="404">
        <f>+J707</f>
        <v>4739464.17</v>
      </c>
      <c r="U707" s="501">
        <f>+S707*T707</f>
        <v>9478928.3399999999</v>
      </c>
      <c r="V707" s="75"/>
      <c r="W707" s="476"/>
    </row>
    <row r="708" spans="2:23" s="82" customFormat="1" ht="68.25">
      <c r="B708" s="83"/>
      <c r="C708" s="475" t="s">
        <v>1113</v>
      </c>
      <c r="D708" s="387"/>
      <c r="E708" s="387"/>
      <c r="F708" s="387"/>
      <c r="G708" s="98" t="s">
        <v>1062</v>
      </c>
      <c r="H708" s="102" t="s">
        <v>267</v>
      </c>
      <c r="I708" s="478">
        <v>1</v>
      </c>
      <c r="J708" s="304">
        <v>56584500</v>
      </c>
      <c r="K708" s="451">
        <f t="shared" si="470"/>
        <v>56584500</v>
      </c>
      <c r="L708" s="388"/>
      <c r="M708" s="307">
        <f t="shared" si="467"/>
        <v>1</v>
      </c>
      <c r="N708" s="307">
        <f t="shared" si="471"/>
        <v>0</v>
      </c>
      <c r="O708" s="313">
        <f t="shared" si="472"/>
        <v>56584500</v>
      </c>
      <c r="P708" s="313">
        <f t="shared" si="473"/>
        <v>0</v>
      </c>
      <c r="Q708" s="313">
        <f>+O708-P708</f>
        <v>56584500</v>
      </c>
      <c r="R708" s="388"/>
      <c r="S708" s="303">
        <f t="shared" si="468"/>
        <v>1</v>
      </c>
      <c r="T708" s="404">
        <f t="shared" ref="T708:T740" si="481">+J708</f>
        <v>56584500</v>
      </c>
      <c r="U708" s="501">
        <f t="shared" si="469"/>
        <v>56584500</v>
      </c>
      <c r="V708" s="75"/>
      <c r="W708" s="476"/>
    </row>
    <row r="709" spans="2:23" s="82" customFormat="1" ht="81">
      <c r="B709" s="83"/>
      <c r="C709" s="475" t="s">
        <v>1114</v>
      </c>
      <c r="D709" s="387"/>
      <c r="E709" s="387"/>
      <c r="F709" s="387"/>
      <c r="G709" s="98" t="s">
        <v>1063</v>
      </c>
      <c r="H709" s="102" t="s">
        <v>52</v>
      </c>
      <c r="I709" s="478">
        <f>169+509</f>
        <v>678</v>
      </c>
      <c r="J709" s="304">
        <v>493909.5</v>
      </c>
      <c r="K709" s="451">
        <f t="shared" si="470"/>
        <v>334870641</v>
      </c>
      <c r="L709" s="388"/>
      <c r="M709" s="307">
        <f t="shared" si="467"/>
        <v>678</v>
      </c>
      <c r="N709" s="307">
        <f t="shared" si="471"/>
        <v>0</v>
      </c>
      <c r="O709" s="313">
        <f t="shared" si="472"/>
        <v>334870641</v>
      </c>
      <c r="P709" s="313">
        <f t="shared" si="473"/>
        <v>0</v>
      </c>
      <c r="Q709" s="313">
        <f t="shared" si="466"/>
        <v>334870641</v>
      </c>
      <c r="R709" s="388"/>
      <c r="S709" s="303">
        <f t="shared" si="468"/>
        <v>678</v>
      </c>
      <c r="T709" s="404">
        <f t="shared" si="481"/>
        <v>493909.5</v>
      </c>
      <c r="U709" s="501">
        <f>+S709*T709</f>
        <v>334870641</v>
      </c>
      <c r="V709" s="75"/>
      <c r="W709" s="476"/>
    </row>
    <row r="710" spans="2:23" s="82" customFormat="1" ht="90">
      <c r="B710" s="83"/>
      <c r="C710" s="475" t="s">
        <v>1115</v>
      </c>
      <c r="D710" s="387"/>
      <c r="E710" s="387"/>
      <c r="F710" s="387"/>
      <c r="G710" s="98" t="s">
        <v>1064</v>
      </c>
      <c r="H710" s="102" t="s">
        <v>267</v>
      </c>
      <c r="I710" s="478">
        <v>1</v>
      </c>
      <c r="J710" s="304">
        <v>259364962.5</v>
      </c>
      <c r="K710" s="451">
        <f t="shared" si="470"/>
        <v>259364962.5</v>
      </c>
      <c r="L710" s="388"/>
      <c r="M710" s="307">
        <f t="shared" si="467"/>
        <v>1</v>
      </c>
      <c r="N710" s="307">
        <f t="shared" si="471"/>
        <v>0</v>
      </c>
      <c r="O710" s="313">
        <f t="shared" si="472"/>
        <v>259364962.5</v>
      </c>
      <c r="P710" s="313">
        <f t="shared" si="473"/>
        <v>0</v>
      </c>
      <c r="Q710" s="313">
        <f t="shared" si="466"/>
        <v>259364962.5</v>
      </c>
      <c r="R710" s="388"/>
      <c r="S710" s="303">
        <f t="shared" si="468"/>
        <v>1</v>
      </c>
      <c r="T710" s="404">
        <f t="shared" si="481"/>
        <v>259364962.5</v>
      </c>
      <c r="U710" s="501">
        <f>+S710*T710</f>
        <v>259364962.5</v>
      </c>
      <c r="V710" s="75"/>
      <c r="W710" s="476"/>
    </row>
    <row r="711" spans="2:23" s="82" customFormat="1" ht="80.45" customHeight="1">
      <c r="B711" s="83"/>
      <c r="C711" s="475" t="s">
        <v>1116</v>
      </c>
      <c r="D711" s="387"/>
      <c r="E711" s="387"/>
      <c r="F711" s="387"/>
      <c r="G711" s="98" t="s">
        <v>1077</v>
      </c>
      <c r="H711" s="102" t="s">
        <v>267</v>
      </c>
      <c r="I711" s="478">
        <f>397+75</f>
        <v>472</v>
      </c>
      <c r="J711" s="304">
        <v>264180</v>
      </c>
      <c r="K711" s="451">
        <f t="shared" si="470"/>
        <v>124692960</v>
      </c>
      <c r="L711" s="388"/>
      <c r="M711" s="307">
        <f t="shared" si="467"/>
        <v>472</v>
      </c>
      <c r="N711" s="307">
        <f t="shared" si="471"/>
        <v>0</v>
      </c>
      <c r="O711" s="313">
        <f t="shared" si="472"/>
        <v>124692960</v>
      </c>
      <c r="P711" s="313">
        <f t="shared" si="473"/>
        <v>0</v>
      </c>
      <c r="Q711" s="313">
        <f t="shared" si="466"/>
        <v>124692960</v>
      </c>
      <c r="R711" s="388"/>
      <c r="S711" s="303">
        <f t="shared" si="468"/>
        <v>472</v>
      </c>
      <c r="T711" s="404">
        <f t="shared" si="481"/>
        <v>264180</v>
      </c>
      <c r="U711" s="501">
        <f t="shared" si="469"/>
        <v>124692960</v>
      </c>
      <c r="V711" s="75"/>
      <c r="W711" s="476"/>
    </row>
    <row r="712" spans="2:23" s="82" customFormat="1" ht="81">
      <c r="B712" s="83"/>
      <c r="C712" s="475" t="s">
        <v>848</v>
      </c>
      <c r="D712" s="387"/>
      <c r="E712" s="387"/>
      <c r="F712" s="387"/>
      <c r="G712" s="98" t="s">
        <v>1105</v>
      </c>
      <c r="H712" s="102" t="s">
        <v>267</v>
      </c>
      <c r="I712" s="478">
        <v>1</v>
      </c>
      <c r="J712" s="304">
        <v>42870844.799999997</v>
      </c>
      <c r="K712" s="451">
        <f t="shared" si="470"/>
        <v>42870844.799999997</v>
      </c>
      <c r="L712" s="388"/>
      <c r="M712" s="307">
        <f t="shared" si="467"/>
        <v>1</v>
      </c>
      <c r="N712" s="307">
        <f t="shared" si="471"/>
        <v>0</v>
      </c>
      <c r="O712" s="313">
        <f t="shared" si="472"/>
        <v>42870844.799999997</v>
      </c>
      <c r="P712" s="313">
        <f t="shared" si="473"/>
        <v>0</v>
      </c>
      <c r="Q712" s="313">
        <f t="shared" si="466"/>
        <v>42870844.799999997</v>
      </c>
      <c r="R712" s="388"/>
      <c r="S712" s="303">
        <f t="shared" si="468"/>
        <v>1</v>
      </c>
      <c r="T712" s="404">
        <f t="shared" si="481"/>
        <v>42870844.799999997</v>
      </c>
      <c r="U712" s="501">
        <f t="shared" si="469"/>
        <v>42870844.799999997</v>
      </c>
      <c r="V712" s="75"/>
      <c r="W712" s="476"/>
    </row>
    <row r="713" spans="2:23" s="82" customFormat="1" ht="90">
      <c r="B713" s="83"/>
      <c r="C713" s="475" t="s">
        <v>1117</v>
      </c>
      <c r="D713" s="387"/>
      <c r="E713" s="387"/>
      <c r="F713" s="387"/>
      <c r="G713" s="98" t="s">
        <v>1080</v>
      </c>
      <c r="H713" s="102" t="s">
        <v>267</v>
      </c>
      <c r="I713" s="478">
        <v>1</v>
      </c>
      <c r="J713" s="304">
        <v>7848288</v>
      </c>
      <c r="K713" s="451">
        <f t="shared" si="470"/>
        <v>7848288</v>
      </c>
      <c r="L713" s="388"/>
      <c r="M713" s="307">
        <f t="shared" si="467"/>
        <v>1</v>
      </c>
      <c r="N713" s="307">
        <f t="shared" si="471"/>
        <v>0</v>
      </c>
      <c r="O713" s="313">
        <f t="shared" si="472"/>
        <v>7848288</v>
      </c>
      <c r="P713" s="313">
        <f t="shared" si="473"/>
        <v>0</v>
      </c>
      <c r="Q713" s="313">
        <f t="shared" si="466"/>
        <v>7848288</v>
      </c>
      <c r="R713" s="388"/>
      <c r="S713" s="303">
        <f t="shared" si="468"/>
        <v>1</v>
      </c>
      <c r="T713" s="404">
        <f t="shared" si="481"/>
        <v>7848288</v>
      </c>
      <c r="U713" s="501">
        <f t="shared" si="469"/>
        <v>7848288</v>
      </c>
      <c r="V713" s="75"/>
      <c r="W713" s="476"/>
    </row>
    <row r="714" spans="2:23" s="82" customFormat="1" ht="105">
      <c r="B714" s="83"/>
      <c r="C714" s="475" t="s">
        <v>1118</v>
      </c>
      <c r="D714" s="387"/>
      <c r="E714" s="387"/>
      <c r="F714" s="387"/>
      <c r="G714" s="98" t="s">
        <v>1081</v>
      </c>
      <c r="H714" s="102" t="s">
        <v>267</v>
      </c>
      <c r="I714" s="478">
        <v>1</v>
      </c>
      <c r="J714" s="304">
        <v>6443136</v>
      </c>
      <c r="K714" s="451">
        <f t="shared" si="470"/>
        <v>6443136</v>
      </c>
      <c r="L714" s="388"/>
      <c r="M714" s="307">
        <f t="shared" si="467"/>
        <v>1</v>
      </c>
      <c r="N714" s="307">
        <f t="shared" si="471"/>
        <v>0</v>
      </c>
      <c r="O714" s="313">
        <f t="shared" si="472"/>
        <v>6443136</v>
      </c>
      <c r="P714" s="313">
        <f t="shared" si="473"/>
        <v>0</v>
      </c>
      <c r="Q714" s="313">
        <f t="shared" si="466"/>
        <v>6443136</v>
      </c>
      <c r="R714" s="388"/>
      <c r="S714" s="303">
        <f t="shared" si="468"/>
        <v>1</v>
      </c>
      <c r="T714" s="404">
        <f t="shared" si="481"/>
        <v>6443136</v>
      </c>
      <c r="U714" s="501">
        <f t="shared" si="469"/>
        <v>6443136</v>
      </c>
      <c r="V714" s="75"/>
      <c r="W714" s="476"/>
    </row>
    <row r="715" spans="2:23" s="82" customFormat="1" ht="105">
      <c r="B715" s="83"/>
      <c r="C715" s="475" t="s">
        <v>1119</v>
      </c>
      <c r="D715" s="387"/>
      <c r="E715" s="387"/>
      <c r="F715" s="387"/>
      <c r="G715" s="98" t="s">
        <v>1082</v>
      </c>
      <c r="H715" s="102" t="s">
        <v>267</v>
      </c>
      <c r="I715" s="478">
        <v>1</v>
      </c>
      <c r="J715" s="304">
        <v>6443136</v>
      </c>
      <c r="K715" s="451">
        <f t="shared" si="470"/>
        <v>6443136</v>
      </c>
      <c r="L715" s="388"/>
      <c r="M715" s="307">
        <f t="shared" si="467"/>
        <v>1</v>
      </c>
      <c r="N715" s="307">
        <f t="shared" si="471"/>
        <v>0</v>
      </c>
      <c r="O715" s="313">
        <f t="shared" si="472"/>
        <v>6443136</v>
      </c>
      <c r="P715" s="313">
        <f t="shared" si="473"/>
        <v>0</v>
      </c>
      <c r="Q715" s="313">
        <f t="shared" si="466"/>
        <v>6443136</v>
      </c>
      <c r="R715" s="388"/>
      <c r="S715" s="303">
        <f t="shared" si="468"/>
        <v>1</v>
      </c>
      <c r="T715" s="404">
        <f t="shared" si="481"/>
        <v>6443136</v>
      </c>
      <c r="U715" s="501">
        <f t="shared" si="469"/>
        <v>6443136</v>
      </c>
      <c r="V715" s="75"/>
      <c r="W715" s="476"/>
    </row>
    <row r="716" spans="2:23" s="82" customFormat="1" ht="120">
      <c r="B716" s="83"/>
      <c r="C716" s="475" t="s">
        <v>1120</v>
      </c>
      <c r="D716" s="387"/>
      <c r="E716" s="387"/>
      <c r="F716" s="387"/>
      <c r="G716" s="98" t="s">
        <v>1083</v>
      </c>
      <c r="H716" s="102" t="s">
        <v>267</v>
      </c>
      <c r="I716" s="478">
        <v>1</v>
      </c>
      <c r="J716" s="304">
        <v>27239100</v>
      </c>
      <c r="K716" s="451">
        <f t="shared" si="470"/>
        <v>27239100</v>
      </c>
      <c r="L716" s="388"/>
      <c r="M716" s="307">
        <f t="shared" si="467"/>
        <v>1</v>
      </c>
      <c r="N716" s="307">
        <f t="shared" si="471"/>
        <v>0</v>
      </c>
      <c r="O716" s="313">
        <f t="shared" si="472"/>
        <v>27239100</v>
      </c>
      <c r="P716" s="313">
        <f t="shared" si="473"/>
        <v>0</v>
      </c>
      <c r="Q716" s="313">
        <f t="shared" si="466"/>
        <v>27239100</v>
      </c>
      <c r="R716" s="388"/>
      <c r="S716" s="303">
        <f t="shared" si="468"/>
        <v>1</v>
      </c>
      <c r="T716" s="404">
        <f t="shared" si="481"/>
        <v>27239100</v>
      </c>
      <c r="U716" s="501">
        <f t="shared" si="469"/>
        <v>27239100</v>
      </c>
      <c r="V716" s="75"/>
      <c r="W716" s="476"/>
    </row>
    <row r="717" spans="2:23" s="82" customFormat="1" ht="120">
      <c r="B717" s="83"/>
      <c r="C717" s="475" t="s">
        <v>1121</v>
      </c>
      <c r="D717" s="387"/>
      <c r="E717" s="387"/>
      <c r="F717" s="387"/>
      <c r="G717" s="98" t="s">
        <v>1084</v>
      </c>
      <c r="H717" s="102" t="s">
        <v>267</v>
      </c>
      <c r="I717" s="478">
        <v>1</v>
      </c>
      <c r="J717" s="304">
        <v>11995200</v>
      </c>
      <c r="K717" s="451">
        <f t="shared" si="470"/>
        <v>11995200</v>
      </c>
      <c r="L717" s="388"/>
      <c r="M717" s="307">
        <f t="shared" si="467"/>
        <v>1</v>
      </c>
      <c r="N717" s="307">
        <f t="shared" si="471"/>
        <v>0</v>
      </c>
      <c r="O717" s="313">
        <f t="shared" si="472"/>
        <v>11995200</v>
      </c>
      <c r="P717" s="313">
        <f t="shared" si="473"/>
        <v>0</v>
      </c>
      <c r="Q717" s="313">
        <f t="shared" si="466"/>
        <v>11995200</v>
      </c>
      <c r="R717" s="388"/>
      <c r="S717" s="303">
        <f t="shared" si="468"/>
        <v>1</v>
      </c>
      <c r="T717" s="404">
        <f t="shared" si="481"/>
        <v>11995200</v>
      </c>
      <c r="U717" s="501">
        <f t="shared" si="469"/>
        <v>11995200</v>
      </c>
      <c r="V717" s="75"/>
      <c r="W717" s="476"/>
    </row>
    <row r="718" spans="2:23" s="82" customFormat="1" ht="111.6" customHeight="1">
      <c r="B718" s="83"/>
      <c r="C718" s="475" t="s">
        <v>1122</v>
      </c>
      <c r="D718" s="387"/>
      <c r="E718" s="387"/>
      <c r="F718" s="387"/>
      <c r="G718" s="98" t="s">
        <v>1085</v>
      </c>
      <c r="H718" s="102" t="s">
        <v>267</v>
      </c>
      <c r="I718" s="478">
        <v>1</v>
      </c>
      <c r="J718" s="304">
        <v>13362652.799999999</v>
      </c>
      <c r="K718" s="451">
        <f t="shared" si="470"/>
        <v>13362652.799999999</v>
      </c>
      <c r="L718" s="388"/>
      <c r="M718" s="307">
        <f t="shared" si="467"/>
        <v>1</v>
      </c>
      <c r="N718" s="307">
        <f t="shared" si="471"/>
        <v>0</v>
      </c>
      <c r="O718" s="313">
        <f t="shared" si="472"/>
        <v>13362652.799999999</v>
      </c>
      <c r="P718" s="313">
        <f t="shared" si="473"/>
        <v>0</v>
      </c>
      <c r="Q718" s="313">
        <f t="shared" si="466"/>
        <v>13362652.799999999</v>
      </c>
      <c r="R718" s="388"/>
      <c r="S718" s="303">
        <f t="shared" si="468"/>
        <v>1</v>
      </c>
      <c r="T718" s="404">
        <f t="shared" si="481"/>
        <v>13362652.799999999</v>
      </c>
      <c r="U718" s="501">
        <f t="shared" si="469"/>
        <v>13362652.799999999</v>
      </c>
      <c r="V718" s="75"/>
      <c r="W718" s="476"/>
    </row>
    <row r="719" spans="2:23" s="82" customFormat="1" ht="129.6" customHeight="1">
      <c r="B719" s="83"/>
      <c r="C719" s="475" t="s">
        <v>1123</v>
      </c>
      <c r="D719" s="387"/>
      <c r="E719" s="387"/>
      <c r="F719" s="387"/>
      <c r="G719" s="98" t="s">
        <v>1086</v>
      </c>
      <c r="H719" s="102" t="s">
        <v>267</v>
      </c>
      <c r="I719" s="478">
        <v>1</v>
      </c>
      <c r="J719" s="304">
        <v>209124316.79999998</v>
      </c>
      <c r="K719" s="451">
        <f t="shared" si="470"/>
        <v>209124316.79999998</v>
      </c>
      <c r="L719" s="388"/>
      <c r="M719" s="307">
        <f t="shared" si="467"/>
        <v>1</v>
      </c>
      <c r="N719" s="307">
        <f t="shared" si="471"/>
        <v>0</v>
      </c>
      <c r="O719" s="313">
        <f t="shared" si="472"/>
        <v>209124316.79999998</v>
      </c>
      <c r="P719" s="313">
        <f t="shared" si="473"/>
        <v>0</v>
      </c>
      <c r="Q719" s="313">
        <f t="shared" si="466"/>
        <v>209124316.79999998</v>
      </c>
      <c r="R719" s="388"/>
      <c r="S719" s="303">
        <f t="shared" si="468"/>
        <v>1</v>
      </c>
      <c r="T719" s="404">
        <f t="shared" si="481"/>
        <v>209124316.79999998</v>
      </c>
      <c r="U719" s="501">
        <f t="shared" si="469"/>
        <v>209124316.79999998</v>
      </c>
      <c r="V719" s="75"/>
      <c r="W719" s="476"/>
    </row>
    <row r="720" spans="2:23" s="82" customFormat="1" ht="117" customHeight="1">
      <c r="B720" s="83"/>
      <c r="C720" s="475" t="s">
        <v>1124</v>
      </c>
      <c r="D720" s="387"/>
      <c r="E720" s="387"/>
      <c r="F720" s="387"/>
      <c r="G720" s="98" t="s">
        <v>1087</v>
      </c>
      <c r="H720" s="102" t="s">
        <v>267</v>
      </c>
      <c r="I720" s="478">
        <v>1</v>
      </c>
      <c r="J720" s="304">
        <v>232251062.39999998</v>
      </c>
      <c r="K720" s="451">
        <f t="shared" si="470"/>
        <v>232251062.39999998</v>
      </c>
      <c r="L720" s="388"/>
      <c r="M720" s="307">
        <f t="shared" si="467"/>
        <v>1</v>
      </c>
      <c r="N720" s="307">
        <f t="shared" si="471"/>
        <v>0</v>
      </c>
      <c r="O720" s="313">
        <f t="shared" si="472"/>
        <v>232251062.39999998</v>
      </c>
      <c r="P720" s="313">
        <f t="shared" si="473"/>
        <v>0</v>
      </c>
      <c r="Q720" s="313">
        <f t="shared" si="466"/>
        <v>232251062.39999998</v>
      </c>
      <c r="R720" s="388"/>
      <c r="S720" s="303">
        <f t="shared" si="468"/>
        <v>1</v>
      </c>
      <c r="T720" s="404">
        <f t="shared" si="481"/>
        <v>232251062.39999998</v>
      </c>
      <c r="U720" s="501">
        <f t="shared" si="469"/>
        <v>232251062.39999998</v>
      </c>
      <c r="V720" s="75"/>
      <c r="W720" s="476"/>
    </row>
    <row r="721" spans="2:23" s="82" customFormat="1" ht="105">
      <c r="B721" s="83"/>
      <c r="C721" s="475" t="s">
        <v>1125</v>
      </c>
      <c r="D721" s="387"/>
      <c r="E721" s="387"/>
      <c r="F721" s="387"/>
      <c r="G721" s="98" t="s">
        <v>1101</v>
      </c>
      <c r="H721" s="102" t="s">
        <v>52</v>
      </c>
      <c r="I721" s="478">
        <v>947</v>
      </c>
      <c r="J721" s="304">
        <v>690259.5</v>
      </c>
      <c r="K721" s="451">
        <f t="shared" si="470"/>
        <v>653675746.5</v>
      </c>
      <c r="L721" s="388"/>
      <c r="M721" s="307">
        <f t="shared" si="467"/>
        <v>947</v>
      </c>
      <c r="N721" s="307">
        <f t="shared" si="471"/>
        <v>0</v>
      </c>
      <c r="O721" s="313">
        <f t="shared" si="472"/>
        <v>653675746.5</v>
      </c>
      <c r="P721" s="313">
        <f t="shared" si="473"/>
        <v>0</v>
      </c>
      <c r="Q721" s="313">
        <f t="shared" si="466"/>
        <v>653675746.5</v>
      </c>
      <c r="R721" s="388"/>
      <c r="S721" s="303">
        <f t="shared" si="468"/>
        <v>947</v>
      </c>
      <c r="T721" s="404">
        <f t="shared" si="481"/>
        <v>690259.5</v>
      </c>
      <c r="U721" s="501">
        <f t="shared" si="469"/>
        <v>653675746.5</v>
      </c>
      <c r="V721" s="75"/>
      <c r="W721" s="476"/>
    </row>
    <row r="722" spans="2:23" s="82" customFormat="1" ht="142.15" customHeight="1">
      <c r="B722" s="83"/>
      <c r="C722" s="475" t="s">
        <v>843</v>
      </c>
      <c r="D722" s="387"/>
      <c r="E722" s="387"/>
      <c r="F722" s="387"/>
      <c r="G722" s="98" t="s">
        <v>1090</v>
      </c>
      <c r="H722" s="102" t="s">
        <v>267</v>
      </c>
      <c r="I722" s="478">
        <v>1</v>
      </c>
      <c r="J722" s="304">
        <v>956694901.04999995</v>
      </c>
      <c r="K722" s="451">
        <f t="shared" si="470"/>
        <v>956694901.04999995</v>
      </c>
      <c r="L722" s="388"/>
      <c r="M722" s="307">
        <f t="shared" si="467"/>
        <v>1</v>
      </c>
      <c r="N722" s="307">
        <f t="shared" si="471"/>
        <v>0</v>
      </c>
      <c r="O722" s="313">
        <f t="shared" si="472"/>
        <v>956694901.04999995</v>
      </c>
      <c r="P722" s="313">
        <f t="shared" si="473"/>
        <v>0</v>
      </c>
      <c r="Q722" s="313">
        <f t="shared" si="466"/>
        <v>956694901.04999995</v>
      </c>
      <c r="R722" s="388"/>
      <c r="S722" s="303">
        <f t="shared" si="468"/>
        <v>1</v>
      </c>
      <c r="T722" s="404">
        <f t="shared" si="481"/>
        <v>956694901.04999995</v>
      </c>
      <c r="U722" s="501">
        <f t="shared" si="469"/>
        <v>956694901.04999995</v>
      </c>
      <c r="V722" s="75"/>
      <c r="W722" s="476"/>
    </row>
    <row r="723" spans="2:23" s="82" customFormat="1" ht="90.6" customHeight="1">
      <c r="B723" s="83"/>
      <c r="C723" s="475" t="s">
        <v>1126</v>
      </c>
      <c r="D723" s="387"/>
      <c r="E723" s="387"/>
      <c r="F723" s="387"/>
      <c r="G723" s="98" t="s">
        <v>1091</v>
      </c>
      <c r="H723" s="102" t="s">
        <v>267</v>
      </c>
      <c r="I723" s="478">
        <v>1</v>
      </c>
      <c r="J723" s="304">
        <v>498427909.76999998</v>
      </c>
      <c r="K723" s="451">
        <f t="shared" si="470"/>
        <v>498427909.76999998</v>
      </c>
      <c r="L723" s="388"/>
      <c r="M723" s="307">
        <f t="shared" si="467"/>
        <v>1</v>
      </c>
      <c r="N723" s="307">
        <f t="shared" si="471"/>
        <v>0</v>
      </c>
      <c r="O723" s="313">
        <f t="shared" si="472"/>
        <v>498427909.76999998</v>
      </c>
      <c r="P723" s="313">
        <f t="shared" si="473"/>
        <v>0</v>
      </c>
      <c r="Q723" s="313">
        <f t="shared" si="466"/>
        <v>498427909.76999998</v>
      </c>
      <c r="R723" s="388"/>
      <c r="S723" s="303">
        <f t="shared" si="468"/>
        <v>1</v>
      </c>
      <c r="T723" s="404">
        <f t="shared" si="481"/>
        <v>498427909.76999998</v>
      </c>
      <c r="U723" s="501">
        <f t="shared" si="469"/>
        <v>498427909.76999998</v>
      </c>
      <c r="V723" s="75"/>
      <c r="W723" s="476"/>
    </row>
    <row r="724" spans="2:23" s="82" customFormat="1" ht="114" customHeight="1">
      <c r="B724" s="83"/>
      <c r="C724" s="475" t="s">
        <v>1127</v>
      </c>
      <c r="D724" s="387"/>
      <c r="E724" s="387"/>
      <c r="F724" s="387"/>
      <c r="G724" s="98" t="s">
        <v>1092</v>
      </c>
      <c r="H724" s="102" t="s">
        <v>267</v>
      </c>
      <c r="I724" s="478">
        <v>1</v>
      </c>
      <c r="J724" s="304">
        <v>144942000</v>
      </c>
      <c r="K724" s="451">
        <f t="shared" si="470"/>
        <v>144942000</v>
      </c>
      <c r="L724" s="388"/>
      <c r="M724" s="307">
        <f t="shared" si="467"/>
        <v>1</v>
      </c>
      <c r="N724" s="307">
        <f t="shared" si="471"/>
        <v>0</v>
      </c>
      <c r="O724" s="313">
        <f t="shared" si="472"/>
        <v>144942000</v>
      </c>
      <c r="P724" s="313">
        <f t="shared" si="473"/>
        <v>0</v>
      </c>
      <c r="Q724" s="313">
        <f t="shared" si="466"/>
        <v>144942000</v>
      </c>
      <c r="R724" s="388"/>
      <c r="S724" s="303">
        <f t="shared" si="468"/>
        <v>1</v>
      </c>
      <c r="T724" s="404">
        <f t="shared" si="481"/>
        <v>144942000</v>
      </c>
      <c r="U724" s="501">
        <f t="shared" si="469"/>
        <v>144942000</v>
      </c>
      <c r="V724" s="75"/>
      <c r="W724" s="476"/>
    </row>
    <row r="725" spans="2:23" s="82" customFormat="1" ht="94.9" customHeight="1">
      <c r="B725" s="83"/>
      <c r="C725" s="475" t="s">
        <v>1128</v>
      </c>
      <c r="D725" s="387"/>
      <c r="E725" s="387"/>
      <c r="F725" s="387"/>
      <c r="G725" s="98" t="s">
        <v>1093</v>
      </c>
      <c r="H725" s="102" t="s">
        <v>267</v>
      </c>
      <c r="I725" s="478">
        <v>2</v>
      </c>
      <c r="J725" s="304">
        <v>8389500</v>
      </c>
      <c r="K725" s="451">
        <f t="shared" si="470"/>
        <v>16779000</v>
      </c>
      <c r="L725" s="388"/>
      <c r="M725" s="307">
        <f t="shared" si="467"/>
        <v>2</v>
      </c>
      <c r="N725" s="307">
        <f t="shared" si="471"/>
        <v>0</v>
      </c>
      <c r="O725" s="313">
        <f t="shared" si="472"/>
        <v>16779000</v>
      </c>
      <c r="P725" s="313">
        <f t="shared" si="473"/>
        <v>0</v>
      </c>
      <c r="Q725" s="313">
        <f t="shared" si="466"/>
        <v>16779000</v>
      </c>
      <c r="R725" s="388"/>
      <c r="S725" s="303">
        <f t="shared" si="468"/>
        <v>2</v>
      </c>
      <c r="T725" s="404">
        <f t="shared" si="481"/>
        <v>8389500</v>
      </c>
      <c r="U725" s="501">
        <f t="shared" si="469"/>
        <v>16779000</v>
      </c>
      <c r="V725" s="75"/>
      <c r="W725" s="476"/>
    </row>
    <row r="726" spans="2:23" s="82" customFormat="1" ht="105">
      <c r="B726" s="83"/>
      <c r="C726" s="475" t="s">
        <v>1129</v>
      </c>
      <c r="D726" s="387"/>
      <c r="E726" s="387"/>
      <c r="F726" s="387"/>
      <c r="G726" s="98" t="s">
        <v>1097</v>
      </c>
      <c r="H726" s="102" t="s">
        <v>267</v>
      </c>
      <c r="I726" s="478">
        <v>1</v>
      </c>
      <c r="J726" s="304">
        <v>42308070</v>
      </c>
      <c r="K726" s="451">
        <f t="shared" si="470"/>
        <v>42308070</v>
      </c>
      <c r="L726" s="388"/>
      <c r="M726" s="307">
        <f t="shared" si="467"/>
        <v>1</v>
      </c>
      <c r="N726" s="307">
        <f t="shared" si="471"/>
        <v>0</v>
      </c>
      <c r="O726" s="313">
        <f t="shared" si="472"/>
        <v>42308070</v>
      </c>
      <c r="P726" s="313">
        <f t="shared" si="473"/>
        <v>0</v>
      </c>
      <c r="Q726" s="313">
        <f t="shared" si="466"/>
        <v>42308070</v>
      </c>
      <c r="R726" s="388"/>
      <c r="S726" s="303">
        <f t="shared" si="468"/>
        <v>1</v>
      </c>
      <c r="T726" s="404">
        <f t="shared" si="481"/>
        <v>42308070</v>
      </c>
      <c r="U726" s="501">
        <f t="shared" si="469"/>
        <v>42308070</v>
      </c>
      <c r="V726" s="75"/>
      <c r="W726" s="476"/>
    </row>
    <row r="727" spans="2:23" s="82" customFormat="1" ht="90">
      <c r="B727" s="83"/>
      <c r="C727" s="475" t="s">
        <v>1130</v>
      </c>
      <c r="D727" s="387"/>
      <c r="E727" s="387"/>
      <c r="F727" s="387"/>
      <c r="G727" s="98" t="s">
        <v>1098</v>
      </c>
      <c r="H727" s="102" t="s">
        <v>267</v>
      </c>
      <c r="I727" s="478">
        <v>20</v>
      </c>
      <c r="J727" s="304">
        <v>3213000</v>
      </c>
      <c r="K727" s="451">
        <f t="shared" si="470"/>
        <v>64260000</v>
      </c>
      <c r="L727" s="388"/>
      <c r="M727" s="307">
        <f t="shared" si="467"/>
        <v>20</v>
      </c>
      <c r="N727" s="307">
        <f t="shared" si="471"/>
        <v>0</v>
      </c>
      <c r="O727" s="313">
        <f t="shared" si="472"/>
        <v>64260000</v>
      </c>
      <c r="P727" s="313">
        <f t="shared" si="473"/>
        <v>0</v>
      </c>
      <c r="Q727" s="313">
        <f t="shared" si="466"/>
        <v>64260000</v>
      </c>
      <c r="R727" s="388"/>
      <c r="S727" s="303">
        <f t="shared" si="468"/>
        <v>20</v>
      </c>
      <c r="T727" s="404">
        <f t="shared" si="481"/>
        <v>3213000</v>
      </c>
      <c r="U727" s="501">
        <f t="shared" si="469"/>
        <v>64260000</v>
      </c>
      <c r="V727" s="75"/>
      <c r="W727" s="476"/>
    </row>
    <row r="728" spans="2:23" s="82" customFormat="1" ht="91.5">
      <c r="B728" s="83"/>
      <c r="C728" s="475" t="s">
        <v>1131</v>
      </c>
      <c r="D728" s="387"/>
      <c r="E728" s="387"/>
      <c r="F728" s="387"/>
      <c r="G728" s="98" t="s">
        <v>1102</v>
      </c>
      <c r="H728" s="102" t="s">
        <v>267</v>
      </c>
      <c r="I728" s="478">
        <v>1</v>
      </c>
      <c r="J728" s="304">
        <v>125506577.28</v>
      </c>
      <c r="K728" s="451">
        <f t="shared" si="470"/>
        <v>125506577.28</v>
      </c>
      <c r="L728" s="388"/>
      <c r="M728" s="307">
        <f t="shared" si="467"/>
        <v>1</v>
      </c>
      <c r="N728" s="307">
        <f t="shared" si="471"/>
        <v>0</v>
      </c>
      <c r="O728" s="313">
        <f t="shared" si="472"/>
        <v>125506577.28</v>
      </c>
      <c r="P728" s="313">
        <f t="shared" si="473"/>
        <v>0</v>
      </c>
      <c r="Q728" s="313">
        <f t="shared" si="466"/>
        <v>125506577.28</v>
      </c>
      <c r="R728" s="388"/>
      <c r="S728" s="303">
        <f t="shared" si="468"/>
        <v>1</v>
      </c>
      <c r="T728" s="404">
        <f t="shared" si="481"/>
        <v>125506577.28</v>
      </c>
      <c r="U728" s="501">
        <f t="shared" si="469"/>
        <v>125506577.28</v>
      </c>
      <c r="V728" s="75"/>
      <c r="W728" s="476"/>
    </row>
    <row r="729" spans="2:23" s="82" customFormat="1" ht="105.6" customHeight="1">
      <c r="B729" s="83"/>
      <c r="C729" s="475" t="s">
        <v>1132</v>
      </c>
      <c r="D729" s="387"/>
      <c r="E729" s="387"/>
      <c r="F729" s="387"/>
      <c r="G729" s="98" t="s">
        <v>1103</v>
      </c>
      <c r="H729" s="102" t="s">
        <v>267</v>
      </c>
      <c r="I729" s="478">
        <v>1</v>
      </c>
      <c r="J729" s="304">
        <v>37485000</v>
      </c>
      <c r="K729" s="451">
        <f t="shared" si="470"/>
        <v>37485000</v>
      </c>
      <c r="L729" s="388"/>
      <c r="M729" s="307">
        <f t="shared" si="467"/>
        <v>1</v>
      </c>
      <c r="N729" s="307">
        <f t="shared" si="471"/>
        <v>0</v>
      </c>
      <c r="O729" s="313">
        <f t="shared" si="472"/>
        <v>37485000</v>
      </c>
      <c r="P729" s="313">
        <f t="shared" si="473"/>
        <v>0</v>
      </c>
      <c r="Q729" s="313">
        <f t="shared" si="466"/>
        <v>37485000</v>
      </c>
      <c r="R729" s="388"/>
      <c r="S729" s="303">
        <f t="shared" si="468"/>
        <v>1</v>
      </c>
      <c r="T729" s="404">
        <f t="shared" si="481"/>
        <v>37485000</v>
      </c>
      <c r="U729" s="501">
        <f t="shared" si="469"/>
        <v>37485000</v>
      </c>
      <c r="V729" s="75"/>
      <c r="W729" s="476"/>
    </row>
    <row r="730" spans="2:23" s="82" customFormat="1" ht="75" customHeight="1">
      <c r="B730" s="83"/>
      <c r="C730" s="475" t="s">
        <v>1133</v>
      </c>
      <c r="D730" s="387"/>
      <c r="E730" s="387"/>
      <c r="F730" s="387"/>
      <c r="G730" s="98" t="s">
        <v>1104</v>
      </c>
      <c r="H730" s="102" t="s">
        <v>267</v>
      </c>
      <c r="I730" s="478">
        <v>1</v>
      </c>
      <c r="J730" s="304">
        <v>17243100</v>
      </c>
      <c r="K730" s="451">
        <f t="shared" si="470"/>
        <v>17243100</v>
      </c>
      <c r="L730" s="388"/>
      <c r="M730" s="307">
        <f t="shared" si="467"/>
        <v>1</v>
      </c>
      <c r="N730" s="307">
        <f t="shared" si="471"/>
        <v>0</v>
      </c>
      <c r="O730" s="313">
        <f t="shared" si="472"/>
        <v>17243100</v>
      </c>
      <c r="P730" s="313">
        <f t="shared" si="473"/>
        <v>0</v>
      </c>
      <c r="Q730" s="313">
        <f t="shared" si="466"/>
        <v>17243100</v>
      </c>
      <c r="R730" s="388"/>
      <c r="S730" s="303">
        <f t="shared" si="468"/>
        <v>1</v>
      </c>
      <c r="T730" s="404">
        <f t="shared" si="481"/>
        <v>17243100</v>
      </c>
      <c r="U730" s="501">
        <f t="shared" si="469"/>
        <v>17243100</v>
      </c>
      <c r="V730" s="75"/>
      <c r="W730" s="476"/>
    </row>
    <row r="731" spans="2:23" s="82" customFormat="1" ht="68.25">
      <c r="B731" s="83"/>
      <c r="C731" s="475" t="s">
        <v>1134</v>
      </c>
      <c r="D731" s="387"/>
      <c r="E731" s="387"/>
      <c r="F731" s="387"/>
      <c r="G731" s="98" t="s">
        <v>1061</v>
      </c>
      <c r="H731" s="102" t="s">
        <v>267</v>
      </c>
      <c r="I731" s="478">
        <v>1</v>
      </c>
      <c r="J731" s="304">
        <v>3698520</v>
      </c>
      <c r="K731" s="451">
        <f t="shared" si="470"/>
        <v>3698520</v>
      </c>
      <c r="L731" s="388"/>
      <c r="M731" s="307">
        <f t="shared" si="467"/>
        <v>1</v>
      </c>
      <c r="N731" s="307">
        <f t="shared" si="471"/>
        <v>0</v>
      </c>
      <c r="O731" s="313">
        <f t="shared" si="472"/>
        <v>3698520</v>
      </c>
      <c r="P731" s="313">
        <f t="shared" si="473"/>
        <v>0</v>
      </c>
      <c r="Q731" s="313">
        <f t="shared" si="466"/>
        <v>3698520</v>
      </c>
      <c r="R731" s="388"/>
      <c r="S731" s="303">
        <f t="shared" si="468"/>
        <v>1</v>
      </c>
      <c r="T731" s="404">
        <f t="shared" si="481"/>
        <v>3698520</v>
      </c>
      <c r="U731" s="501">
        <f t="shared" si="469"/>
        <v>3698520</v>
      </c>
      <c r="V731" s="75"/>
      <c r="W731" s="476"/>
    </row>
    <row r="732" spans="2:23" s="82" customFormat="1" ht="88.9" customHeight="1">
      <c r="B732" s="83"/>
      <c r="C732" s="475" t="s">
        <v>1135</v>
      </c>
      <c r="D732" s="387"/>
      <c r="E732" s="387"/>
      <c r="F732" s="387"/>
      <c r="G732" s="98" t="s">
        <v>1078</v>
      </c>
      <c r="H732" s="102" t="s">
        <v>267</v>
      </c>
      <c r="I732" s="478">
        <v>1</v>
      </c>
      <c r="J732" s="304">
        <v>9871050</v>
      </c>
      <c r="K732" s="451">
        <f t="shared" si="470"/>
        <v>9871050</v>
      </c>
      <c r="L732" s="388"/>
      <c r="M732" s="307">
        <f t="shared" si="467"/>
        <v>1</v>
      </c>
      <c r="N732" s="307">
        <f t="shared" si="471"/>
        <v>0</v>
      </c>
      <c r="O732" s="313">
        <f t="shared" si="472"/>
        <v>9871050</v>
      </c>
      <c r="P732" s="313">
        <f t="shared" si="473"/>
        <v>0</v>
      </c>
      <c r="Q732" s="313">
        <f t="shared" si="466"/>
        <v>9871050</v>
      </c>
      <c r="R732" s="388"/>
      <c r="S732" s="303">
        <f t="shared" si="468"/>
        <v>1</v>
      </c>
      <c r="T732" s="404">
        <f t="shared" si="481"/>
        <v>9871050</v>
      </c>
      <c r="U732" s="501">
        <f t="shared" si="469"/>
        <v>9871050</v>
      </c>
      <c r="V732" s="75"/>
      <c r="W732" s="476"/>
    </row>
    <row r="733" spans="2:23" s="82" customFormat="1" ht="96" customHeight="1">
      <c r="B733" s="83"/>
      <c r="C733" s="475" t="s">
        <v>1136</v>
      </c>
      <c r="D733" s="387"/>
      <c r="E733" s="387"/>
      <c r="F733" s="387"/>
      <c r="G733" s="98" t="s">
        <v>1079</v>
      </c>
      <c r="H733" s="102" t="s">
        <v>267</v>
      </c>
      <c r="I733" s="478">
        <v>1</v>
      </c>
      <c r="J733" s="304">
        <v>24490200</v>
      </c>
      <c r="K733" s="451">
        <f t="shared" si="470"/>
        <v>24490200</v>
      </c>
      <c r="L733" s="388"/>
      <c r="M733" s="307">
        <f t="shared" si="467"/>
        <v>1</v>
      </c>
      <c r="N733" s="307">
        <f t="shared" si="471"/>
        <v>0</v>
      </c>
      <c r="O733" s="313">
        <f t="shared" si="472"/>
        <v>24490200</v>
      </c>
      <c r="P733" s="313">
        <f t="shared" si="473"/>
        <v>0</v>
      </c>
      <c r="Q733" s="313">
        <f t="shared" si="466"/>
        <v>24490200</v>
      </c>
      <c r="R733" s="388"/>
      <c r="S733" s="303">
        <f t="shared" si="468"/>
        <v>1</v>
      </c>
      <c r="T733" s="404">
        <f t="shared" si="481"/>
        <v>24490200</v>
      </c>
      <c r="U733" s="501">
        <f t="shared" si="469"/>
        <v>24490200</v>
      </c>
      <c r="V733" s="75"/>
      <c r="W733" s="476"/>
    </row>
    <row r="734" spans="2:23" s="82" customFormat="1" ht="90.6" customHeight="1">
      <c r="B734" s="83"/>
      <c r="C734" s="475" t="s">
        <v>1137</v>
      </c>
      <c r="D734" s="387"/>
      <c r="E734" s="387"/>
      <c r="F734" s="387"/>
      <c r="G734" s="98" t="s">
        <v>1088</v>
      </c>
      <c r="H734" s="102" t="s">
        <v>267</v>
      </c>
      <c r="I734" s="478">
        <v>1</v>
      </c>
      <c r="J734" s="304">
        <v>7021440.3000000007</v>
      </c>
      <c r="K734" s="451">
        <f t="shared" si="470"/>
        <v>7021440.3000000007</v>
      </c>
      <c r="L734" s="388"/>
      <c r="M734" s="307">
        <f t="shared" si="467"/>
        <v>1</v>
      </c>
      <c r="N734" s="307">
        <f t="shared" si="471"/>
        <v>0</v>
      </c>
      <c r="O734" s="313">
        <f t="shared" si="472"/>
        <v>7021440.3000000007</v>
      </c>
      <c r="P734" s="313">
        <f t="shared" si="473"/>
        <v>0</v>
      </c>
      <c r="Q734" s="313">
        <f t="shared" si="466"/>
        <v>7021440.3000000007</v>
      </c>
      <c r="R734" s="388"/>
      <c r="S734" s="303">
        <f t="shared" si="468"/>
        <v>1</v>
      </c>
      <c r="T734" s="404">
        <f t="shared" si="481"/>
        <v>7021440.3000000007</v>
      </c>
      <c r="U734" s="501">
        <f t="shared" si="469"/>
        <v>7021440.3000000007</v>
      </c>
      <c r="V734" s="75"/>
      <c r="W734" s="476"/>
    </row>
    <row r="735" spans="2:23" s="82" customFormat="1" ht="90.6" customHeight="1">
      <c r="B735" s="83"/>
      <c r="C735" s="475" t="s">
        <v>1138</v>
      </c>
      <c r="D735" s="387"/>
      <c r="E735" s="387"/>
      <c r="F735" s="387"/>
      <c r="G735" s="98" t="s">
        <v>1089</v>
      </c>
      <c r="H735" s="102" t="s">
        <v>267</v>
      </c>
      <c r="I735" s="478">
        <v>1</v>
      </c>
      <c r="J735" s="304">
        <v>15428020.964999998</v>
      </c>
      <c r="K735" s="451">
        <f t="shared" si="470"/>
        <v>15428020.964999998</v>
      </c>
      <c r="L735" s="388"/>
      <c r="M735" s="307">
        <f t="shared" si="467"/>
        <v>1</v>
      </c>
      <c r="N735" s="307">
        <f t="shared" si="471"/>
        <v>0</v>
      </c>
      <c r="O735" s="313">
        <f t="shared" si="472"/>
        <v>15428020.964999998</v>
      </c>
      <c r="P735" s="313">
        <f t="shared" si="473"/>
        <v>0</v>
      </c>
      <c r="Q735" s="313">
        <f t="shared" si="466"/>
        <v>15428020.964999998</v>
      </c>
      <c r="R735" s="388"/>
      <c r="S735" s="303">
        <f t="shared" si="468"/>
        <v>1</v>
      </c>
      <c r="T735" s="404">
        <f t="shared" si="481"/>
        <v>15428020.964999998</v>
      </c>
      <c r="U735" s="501">
        <f t="shared" si="469"/>
        <v>15428020.964999998</v>
      </c>
      <c r="V735" s="75"/>
      <c r="W735" s="476"/>
    </row>
    <row r="736" spans="2:23" s="82" customFormat="1" ht="112.15" customHeight="1">
      <c r="B736" s="83"/>
      <c r="C736" s="475" t="s">
        <v>1139</v>
      </c>
      <c r="D736" s="387"/>
      <c r="E736" s="387"/>
      <c r="F736" s="387"/>
      <c r="G736" s="98" t="s">
        <v>1094</v>
      </c>
      <c r="H736" s="102" t="s">
        <v>267</v>
      </c>
      <c r="I736" s="478">
        <v>1</v>
      </c>
      <c r="J736" s="304">
        <v>16993200</v>
      </c>
      <c r="K736" s="451">
        <f t="shared" si="470"/>
        <v>16993200</v>
      </c>
      <c r="L736" s="388"/>
      <c r="M736" s="307">
        <f t="shared" si="467"/>
        <v>1</v>
      </c>
      <c r="N736" s="307">
        <f t="shared" si="471"/>
        <v>0</v>
      </c>
      <c r="O736" s="313">
        <f t="shared" si="472"/>
        <v>16993200</v>
      </c>
      <c r="P736" s="313">
        <f t="shared" si="473"/>
        <v>0</v>
      </c>
      <c r="Q736" s="313">
        <f t="shared" si="466"/>
        <v>16993200</v>
      </c>
      <c r="R736" s="388"/>
      <c r="S736" s="303">
        <f t="shared" si="468"/>
        <v>1</v>
      </c>
      <c r="T736" s="404">
        <f t="shared" si="481"/>
        <v>16993200</v>
      </c>
      <c r="U736" s="501">
        <f t="shared" si="469"/>
        <v>16993200</v>
      </c>
      <c r="V736" s="75"/>
      <c r="W736" s="476"/>
    </row>
    <row r="737" spans="2:23" s="82" customFormat="1" ht="94.9" customHeight="1">
      <c r="B737" s="83"/>
      <c r="C737" s="475" t="s">
        <v>1140</v>
      </c>
      <c r="D737" s="387"/>
      <c r="E737" s="387"/>
      <c r="F737" s="387"/>
      <c r="G737" s="98" t="s">
        <v>1095</v>
      </c>
      <c r="H737" s="102" t="s">
        <v>267</v>
      </c>
      <c r="I737" s="478">
        <v>1</v>
      </c>
      <c r="J737" s="304">
        <v>3892442.4000000004</v>
      </c>
      <c r="K737" s="451">
        <f t="shared" si="470"/>
        <v>3892442.4000000004</v>
      </c>
      <c r="L737" s="388"/>
      <c r="M737" s="307">
        <f t="shared" si="467"/>
        <v>1</v>
      </c>
      <c r="N737" s="307">
        <f t="shared" si="471"/>
        <v>0</v>
      </c>
      <c r="O737" s="313">
        <f t="shared" si="472"/>
        <v>3892442.4000000004</v>
      </c>
      <c r="P737" s="313">
        <f t="shared" si="473"/>
        <v>0</v>
      </c>
      <c r="Q737" s="313">
        <f t="shared" si="466"/>
        <v>3892442.4000000004</v>
      </c>
      <c r="R737" s="388"/>
      <c r="S737" s="303">
        <f t="shared" si="468"/>
        <v>1</v>
      </c>
      <c r="T737" s="404">
        <f t="shared" si="481"/>
        <v>3892442.4000000004</v>
      </c>
      <c r="U737" s="501">
        <f t="shared" si="469"/>
        <v>3892442.4000000004</v>
      </c>
      <c r="V737" s="75"/>
      <c r="W737" s="476"/>
    </row>
    <row r="738" spans="2:23" s="82" customFormat="1" ht="90.6" customHeight="1">
      <c r="B738" s="83"/>
      <c r="C738" s="475" t="s">
        <v>1141</v>
      </c>
      <c r="D738" s="387"/>
      <c r="E738" s="387"/>
      <c r="F738" s="387"/>
      <c r="G738" s="98" t="s">
        <v>1096</v>
      </c>
      <c r="H738" s="102" t="s">
        <v>267</v>
      </c>
      <c r="I738" s="478">
        <v>1</v>
      </c>
      <c r="J738" s="304">
        <v>6133026.165</v>
      </c>
      <c r="K738" s="451">
        <f t="shared" si="470"/>
        <v>6133026.165</v>
      </c>
      <c r="L738" s="388"/>
      <c r="M738" s="307">
        <f t="shared" si="467"/>
        <v>1</v>
      </c>
      <c r="N738" s="307">
        <f t="shared" si="471"/>
        <v>0</v>
      </c>
      <c r="O738" s="313">
        <f t="shared" si="472"/>
        <v>6133026.165</v>
      </c>
      <c r="P738" s="313">
        <f t="shared" si="473"/>
        <v>0</v>
      </c>
      <c r="Q738" s="313">
        <f t="shared" si="466"/>
        <v>6133026.165</v>
      </c>
      <c r="R738" s="388"/>
      <c r="S738" s="303">
        <f t="shared" si="468"/>
        <v>1</v>
      </c>
      <c r="T738" s="404">
        <f t="shared" si="481"/>
        <v>6133026.165</v>
      </c>
      <c r="U738" s="501">
        <f t="shared" si="469"/>
        <v>6133026.165</v>
      </c>
      <c r="V738" s="75"/>
      <c r="W738" s="476"/>
    </row>
    <row r="739" spans="2:23" s="82" customFormat="1" ht="111.6" customHeight="1">
      <c r="B739" s="83"/>
      <c r="C739" s="475" t="s">
        <v>1142</v>
      </c>
      <c r="D739" s="387"/>
      <c r="E739" s="387"/>
      <c r="F739" s="387"/>
      <c r="G739" s="98" t="s">
        <v>1099</v>
      </c>
      <c r="H739" s="102" t="s">
        <v>1045</v>
      </c>
      <c r="I739" s="478">
        <v>54</v>
      </c>
      <c r="J739" s="304">
        <v>1624350</v>
      </c>
      <c r="K739" s="451">
        <f t="shared" si="470"/>
        <v>87714900</v>
      </c>
      <c r="L739" s="388"/>
      <c r="M739" s="307">
        <f t="shared" si="467"/>
        <v>54</v>
      </c>
      <c r="N739" s="307">
        <f t="shared" si="471"/>
        <v>0</v>
      </c>
      <c r="O739" s="313">
        <f t="shared" si="472"/>
        <v>87714900</v>
      </c>
      <c r="P739" s="313">
        <f t="shared" si="473"/>
        <v>0</v>
      </c>
      <c r="Q739" s="313">
        <f t="shared" si="466"/>
        <v>87714900</v>
      </c>
      <c r="R739" s="388"/>
      <c r="S739" s="303">
        <f t="shared" si="468"/>
        <v>54</v>
      </c>
      <c r="T739" s="404">
        <f t="shared" si="481"/>
        <v>1624350</v>
      </c>
      <c r="U739" s="501">
        <f t="shared" si="469"/>
        <v>87714900</v>
      </c>
      <c r="V739" s="75"/>
      <c r="W739" s="476"/>
    </row>
    <row r="740" spans="2:23" s="82" customFormat="1" ht="83.45" customHeight="1">
      <c r="B740" s="83"/>
      <c r="C740" s="475" t="s">
        <v>1143</v>
      </c>
      <c r="D740" s="387"/>
      <c r="E740" s="387"/>
      <c r="F740" s="387"/>
      <c r="G740" s="98" t="s">
        <v>1100</v>
      </c>
      <c r="H740" s="102" t="s">
        <v>267</v>
      </c>
      <c r="I740" s="478">
        <v>1</v>
      </c>
      <c r="J740" s="304">
        <v>1436925</v>
      </c>
      <c r="K740" s="451">
        <f t="shared" si="470"/>
        <v>1436925</v>
      </c>
      <c r="L740" s="388"/>
      <c r="M740" s="307">
        <f t="shared" si="467"/>
        <v>1</v>
      </c>
      <c r="N740" s="307">
        <f t="shared" si="471"/>
        <v>0</v>
      </c>
      <c r="O740" s="313">
        <f t="shared" si="472"/>
        <v>1436925</v>
      </c>
      <c r="P740" s="313">
        <f t="shared" si="473"/>
        <v>0</v>
      </c>
      <c r="Q740" s="313">
        <f t="shared" si="466"/>
        <v>1436925</v>
      </c>
      <c r="R740" s="388"/>
      <c r="S740" s="303">
        <f t="shared" si="468"/>
        <v>1</v>
      </c>
      <c r="T740" s="404">
        <f t="shared" si="481"/>
        <v>1436925</v>
      </c>
      <c r="U740" s="501">
        <f>+S740*T740</f>
        <v>1436925</v>
      </c>
      <c r="V740" s="75"/>
      <c r="W740" s="476"/>
    </row>
    <row r="741" spans="2:23" s="82" customFormat="1" ht="95.45" customHeight="1">
      <c r="B741" s="83"/>
      <c r="C741" s="475" t="s">
        <v>1144</v>
      </c>
      <c r="D741" s="387"/>
      <c r="E741" s="387"/>
      <c r="F741" s="387"/>
      <c r="G741" s="98" t="s">
        <v>1153</v>
      </c>
      <c r="H741" s="102" t="s">
        <v>267</v>
      </c>
      <c r="I741" s="478">
        <v>1</v>
      </c>
      <c r="J741" s="304">
        <v>225317836.79999998</v>
      </c>
      <c r="K741" s="451">
        <f t="shared" si="470"/>
        <v>225317836.79999998</v>
      </c>
      <c r="L741" s="388"/>
      <c r="M741" s="307">
        <f t="shared" si="467"/>
        <v>1</v>
      </c>
      <c r="N741" s="307">
        <f t="shared" ref="N741:N746" si="482">+IF(I741&gt;S741,-S741+I741,0)</f>
        <v>0</v>
      </c>
      <c r="O741" s="313">
        <f t="shared" ref="O741:O745" si="483">+M741*J741</f>
        <v>225317836.79999998</v>
      </c>
      <c r="P741" s="313">
        <f t="shared" ref="P741:P745" si="484">+N741*J741</f>
        <v>0</v>
      </c>
      <c r="Q741" s="313">
        <f t="shared" ref="Q741:Q745" si="485">+O741-P741</f>
        <v>225317836.79999998</v>
      </c>
      <c r="R741" s="388"/>
      <c r="S741" s="303">
        <f t="shared" si="468"/>
        <v>1</v>
      </c>
      <c r="T741" s="404">
        <f t="shared" ref="T741:T745" si="486">+J741</f>
        <v>225317836.79999998</v>
      </c>
      <c r="U741" s="501">
        <f t="shared" ref="U741:U745" si="487">+S741*T741</f>
        <v>225317836.79999998</v>
      </c>
      <c r="V741" s="75"/>
      <c r="W741" s="476"/>
    </row>
    <row r="742" spans="2:23" s="82" customFormat="1" ht="82.9" customHeight="1">
      <c r="B742" s="83"/>
      <c r="C742" s="475" t="s">
        <v>1145</v>
      </c>
      <c r="D742" s="387"/>
      <c r="E742" s="387"/>
      <c r="F742" s="387"/>
      <c r="G742" s="98" t="s">
        <v>1154</v>
      </c>
      <c r="H742" s="102" t="s">
        <v>267</v>
      </c>
      <c r="I742" s="478">
        <v>1</v>
      </c>
      <c r="J742" s="304">
        <v>33482551.619999997</v>
      </c>
      <c r="K742" s="451">
        <f t="shared" si="470"/>
        <v>33482551.619999997</v>
      </c>
      <c r="L742" s="388"/>
      <c r="M742" s="307">
        <f t="shared" si="467"/>
        <v>1</v>
      </c>
      <c r="N742" s="307">
        <f t="shared" si="482"/>
        <v>0</v>
      </c>
      <c r="O742" s="313">
        <f t="shared" si="483"/>
        <v>33482551.619999997</v>
      </c>
      <c r="P742" s="313">
        <f t="shared" si="484"/>
        <v>0</v>
      </c>
      <c r="Q742" s="313">
        <f t="shared" si="485"/>
        <v>33482551.619999997</v>
      </c>
      <c r="R742" s="388"/>
      <c r="S742" s="303">
        <f t="shared" si="468"/>
        <v>1</v>
      </c>
      <c r="T742" s="404">
        <f t="shared" si="486"/>
        <v>33482551.619999997</v>
      </c>
      <c r="U742" s="501">
        <f t="shared" si="487"/>
        <v>33482551.619999997</v>
      </c>
      <c r="V742" s="75"/>
      <c r="W742" s="476"/>
    </row>
    <row r="743" spans="2:23" s="82" customFormat="1" ht="76.150000000000006" customHeight="1">
      <c r="B743" s="83"/>
      <c r="C743" s="475" t="s">
        <v>1146</v>
      </c>
      <c r="D743" s="387"/>
      <c r="E743" s="387"/>
      <c r="F743" s="387"/>
      <c r="G743" s="98" t="s">
        <v>1155</v>
      </c>
      <c r="H743" s="102" t="s">
        <v>267</v>
      </c>
      <c r="I743" s="478">
        <v>1</v>
      </c>
      <c r="J743" s="304">
        <v>412335000</v>
      </c>
      <c r="K743" s="451">
        <f t="shared" si="470"/>
        <v>412335000</v>
      </c>
      <c r="L743" s="388"/>
      <c r="M743" s="307">
        <f t="shared" si="467"/>
        <v>1</v>
      </c>
      <c r="N743" s="307">
        <f t="shared" si="482"/>
        <v>0</v>
      </c>
      <c r="O743" s="313">
        <f t="shared" si="483"/>
        <v>412335000</v>
      </c>
      <c r="P743" s="313">
        <f t="shared" si="484"/>
        <v>0</v>
      </c>
      <c r="Q743" s="313">
        <f t="shared" si="485"/>
        <v>412335000</v>
      </c>
      <c r="R743" s="388"/>
      <c r="S743" s="303">
        <f t="shared" si="468"/>
        <v>1</v>
      </c>
      <c r="T743" s="404">
        <f t="shared" si="486"/>
        <v>412335000</v>
      </c>
      <c r="U743" s="501">
        <f t="shared" si="487"/>
        <v>412335000</v>
      </c>
      <c r="V743" s="75"/>
      <c r="W743" s="476"/>
    </row>
    <row r="744" spans="2:23" s="82" customFormat="1" ht="89.45" customHeight="1">
      <c r="B744" s="83"/>
      <c r="C744" s="475" t="s">
        <v>1147</v>
      </c>
      <c r="D744" s="387"/>
      <c r="E744" s="387"/>
      <c r="F744" s="387"/>
      <c r="G744" s="98" t="s">
        <v>1106</v>
      </c>
      <c r="H744" s="102" t="s">
        <v>267</v>
      </c>
      <c r="I744" s="478">
        <v>1</v>
      </c>
      <c r="J744" s="304">
        <v>132447000</v>
      </c>
      <c r="K744" s="451">
        <f t="shared" si="470"/>
        <v>132447000</v>
      </c>
      <c r="L744" s="388"/>
      <c r="M744" s="307">
        <f t="shared" si="467"/>
        <v>1</v>
      </c>
      <c r="N744" s="307">
        <f t="shared" si="482"/>
        <v>0</v>
      </c>
      <c r="O744" s="313">
        <f t="shared" si="483"/>
        <v>132447000</v>
      </c>
      <c r="P744" s="313">
        <f t="shared" si="484"/>
        <v>0</v>
      </c>
      <c r="Q744" s="313">
        <f t="shared" si="485"/>
        <v>132447000</v>
      </c>
      <c r="R744" s="388"/>
      <c r="S744" s="303">
        <f t="shared" si="468"/>
        <v>1</v>
      </c>
      <c r="T744" s="404">
        <f t="shared" si="486"/>
        <v>132447000</v>
      </c>
      <c r="U744" s="501">
        <f t="shared" si="487"/>
        <v>132447000</v>
      </c>
      <c r="V744" s="75"/>
      <c r="W744" s="476"/>
    </row>
    <row r="745" spans="2:23" s="82" customFormat="1" ht="60">
      <c r="B745" s="83"/>
      <c r="C745" s="475" t="s">
        <v>1148</v>
      </c>
      <c r="D745" s="387"/>
      <c r="E745" s="387"/>
      <c r="F745" s="387"/>
      <c r="G745" s="98" t="s">
        <v>1107</v>
      </c>
      <c r="H745" s="102" t="s">
        <v>267</v>
      </c>
      <c r="I745" s="478">
        <v>4</v>
      </c>
      <c r="J745" s="304">
        <v>75803000</v>
      </c>
      <c r="K745" s="451">
        <f t="shared" si="470"/>
        <v>303212000</v>
      </c>
      <c r="L745" s="388"/>
      <c r="M745" s="307">
        <f t="shared" si="467"/>
        <v>4</v>
      </c>
      <c r="N745" s="307">
        <f t="shared" si="482"/>
        <v>0</v>
      </c>
      <c r="O745" s="313">
        <f t="shared" si="483"/>
        <v>303212000</v>
      </c>
      <c r="P745" s="313">
        <f t="shared" si="484"/>
        <v>0</v>
      </c>
      <c r="Q745" s="313">
        <f t="shared" si="485"/>
        <v>303212000</v>
      </c>
      <c r="R745" s="388"/>
      <c r="S745" s="303">
        <f t="shared" si="468"/>
        <v>4</v>
      </c>
      <c r="T745" s="404">
        <f t="shared" si="486"/>
        <v>75803000</v>
      </c>
      <c r="U745" s="501">
        <f t="shared" si="487"/>
        <v>303212000</v>
      </c>
      <c r="V745" s="75"/>
      <c r="W745" s="476"/>
    </row>
    <row r="746" spans="2:23" s="82" customFormat="1" ht="58.15" customHeight="1">
      <c r="B746" s="83"/>
      <c r="C746" s="475" t="s">
        <v>1149</v>
      </c>
      <c r="D746" s="387"/>
      <c r="E746" s="387"/>
      <c r="F746" s="387"/>
      <c r="G746" s="98" t="s">
        <v>1111</v>
      </c>
      <c r="H746" s="102" t="s">
        <v>202</v>
      </c>
      <c r="I746" s="478">
        <v>40</v>
      </c>
      <c r="J746" s="304">
        <v>1166291.3799999999</v>
      </c>
      <c r="K746" s="451">
        <f t="shared" si="470"/>
        <v>46651655.199999996</v>
      </c>
      <c r="L746" s="388"/>
      <c r="M746" s="307">
        <f t="shared" si="467"/>
        <v>40</v>
      </c>
      <c r="N746" s="307">
        <f t="shared" si="482"/>
        <v>0</v>
      </c>
      <c r="O746" s="313">
        <f t="shared" ref="O746" si="488">+M746*J746</f>
        <v>46651655.199999996</v>
      </c>
      <c r="P746" s="313">
        <f t="shared" ref="P746" si="489">+N746*J746</f>
        <v>0</v>
      </c>
      <c r="Q746" s="313">
        <f t="shared" ref="Q746" si="490">+O746-P746</f>
        <v>46651655.199999996</v>
      </c>
      <c r="R746" s="388"/>
      <c r="S746" s="303">
        <f t="shared" si="468"/>
        <v>40</v>
      </c>
      <c r="T746" s="404">
        <f t="shared" ref="T746" si="491">+J746</f>
        <v>1166291.3799999999</v>
      </c>
      <c r="U746" s="501">
        <f t="shared" ref="U746" si="492">+S746*T746</f>
        <v>46651655.199999996</v>
      </c>
      <c r="V746" s="75"/>
      <c r="W746" s="476"/>
    </row>
    <row r="747" spans="2:23" s="82" customFormat="1" ht="16.5" thickBot="1">
      <c r="B747" s="83"/>
      <c r="C747" s="868" t="s">
        <v>8</v>
      </c>
      <c r="D747" s="868"/>
      <c r="E747" s="868"/>
      <c r="F747" s="868"/>
      <c r="G747" s="387"/>
      <c r="H747" s="387"/>
      <c r="I747" s="387"/>
      <c r="J747" s="387"/>
      <c r="K747" s="306">
        <f>SUM(K703:K746)</f>
        <v>6260839266.1784</v>
      </c>
      <c r="L747" s="309"/>
      <c r="M747" s="307"/>
      <c r="N747" s="307"/>
      <c r="O747" s="306">
        <f>SUM(O703:O746)</f>
        <v>6260839266.1784</v>
      </c>
      <c r="P747" s="308">
        <f>SUM(P703)</f>
        <v>0</v>
      </c>
      <c r="Q747" s="306">
        <f>SUM(Q703:Q746)</f>
        <v>6260839266.1784</v>
      </c>
      <c r="R747" s="305"/>
      <c r="S747" s="326"/>
      <c r="T747" s="326"/>
      <c r="U747" s="581">
        <f>SUM(U703:U746)</f>
        <v>6260839266.1784</v>
      </c>
      <c r="V747" s="75"/>
      <c r="W747" s="145"/>
    </row>
    <row r="748" spans="2:23" s="82" customFormat="1" ht="30" customHeight="1" thickBot="1">
      <c r="B748" s="83"/>
      <c r="C748" s="880" t="s">
        <v>9</v>
      </c>
      <c r="D748" s="881"/>
      <c r="E748" s="881"/>
      <c r="F748" s="881"/>
      <c r="G748" s="881"/>
      <c r="H748" s="881"/>
      <c r="I748" s="881"/>
      <c r="J748" s="882"/>
      <c r="K748" s="242">
        <f>+K673+K676+K682+K687+K690+K695+K701+K747</f>
        <v>11266482231.505856</v>
      </c>
      <c r="L748" s="603"/>
      <c r="M748" s="413"/>
      <c r="N748" s="611"/>
      <c r="O748" s="242">
        <f>+O673+O676+O682+O687+O690+O695+O701+O747</f>
        <v>11266482231.505856</v>
      </c>
      <c r="P748" s="242">
        <f>+P673+P676+P682+P687+P701+P747</f>
        <v>0</v>
      </c>
      <c r="Q748" s="242">
        <f>+Q673+Q676+Q682+Q687+Q690+Q695+Q701+Q747</f>
        <v>11266482231.505856</v>
      </c>
      <c r="R748" s="612"/>
      <c r="S748" s="582"/>
      <c r="T748" s="582"/>
      <c r="U748" s="526">
        <f>+U673+U676+U682+U687+U690+U695+U701+U747</f>
        <v>11266482231.505856</v>
      </c>
      <c r="V748" s="75">
        <f>+U748-K748</f>
        <v>0</v>
      </c>
    </row>
    <row r="749" spans="2:23" s="82" customFormat="1" ht="15.75">
      <c r="B749" s="83"/>
      <c r="C749" s="596"/>
      <c r="D749" s="596"/>
      <c r="E749" s="596"/>
      <c r="F749" s="596"/>
      <c r="G749" s="596"/>
      <c r="H749" s="596"/>
      <c r="I749" s="596"/>
      <c r="J749" s="596"/>
      <c r="K749" s="597"/>
      <c r="L749" s="598"/>
      <c r="M749" s="243"/>
      <c r="N749" s="243"/>
      <c r="O749" s="243"/>
      <c r="P749" s="243"/>
      <c r="Q749" s="244"/>
      <c r="R749" s="244"/>
      <c r="S749" s="244"/>
      <c r="T749" s="244"/>
      <c r="U749" s="520"/>
      <c r="V749" s="75"/>
      <c r="W749" s="145"/>
    </row>
    <row r="750" spans="2:23" s="82" customFormat="1" ht="15.75">
      <c r="B750" s="83"/>
      <c r="C750" s="596"/>
      <c r="D750" s="596"/>
      <c r="E750" s="596"/>
      <c r="F750" s="596"/>
      <c r="G750" s="596"/>
      <c r="H750" s="596"/>
      <c r="I750" s="596"/>
      <c r="J750" s="596"/>
      <c r="K750" s="597"/>
      <c r="L750" s="598"/>
      <c r="M750" s="598"/>
      <c r="N750" s="598"/>
      <c r="O750" s="598"/>
      <c r="P750" s="598"/>
      <c r="Q750" s="598"/>
      <c r="R750" s="598"/>
      <c r="S750" s="598"/>
      <c r="T750" s="598"/>
      <c r="U750" s="546"/>
      <c r="W750" s="145"/>
    </row>
    <row r="751" spans="2:23" s="82" customFormat="1" ht="15.75">
      <c r="B751" s="83"/>
      <c r="C751" s="596"/>
      <c r="D751" s="596"/>
      <c r="E751" s="596"/>
      <c r="F751" s="596"/>
      <c r="G751" s="596"/>
      <c r="H751" s="596"/>
      <c r="I751" s="596"/>
      <c r="J751" s="596"/>
      <c r="K751" s="597"/>
      <c r="L751" s="598"/>
      <c r="M751" s="598"/>
      <c r="N751" s="598"/>
      <c r="O751" s="598"/>
      <c r="P751" s="598"/>
      <c r="Q751" s="598"/>
      <c r="R751" s="598"/>
      <c r="S751" s="598"/>
      <c r="T751" s="598"/>
      <c r="U751" s="546"/>
      <c r="W751" s="145"/>
    </row>
    <row r="752" spans="2:23" s="82" customFormat="1" ht="15.75">
      <c r="B752" s="83"/>
      <c r="C752" s="596"/>
      <c r="D752" s="596"/>
      <c r="E752" s="596"/>
      <c r="F752" s="596"/>
      <c r="G752" s="596"/>
      <c r="H752" s="596"/>
      <c r="I752" s="596"/>
      <c r="J752" s="596"/>
      <c r="K752" s="597"/>
      <c r="L752" s="598"/>
      <c r="M752" s="598"/>
      <c r="N752" s="598"/>
      <c r="O752" s="598"/>
      <c r="P752" s="598"/>
      <c r="Q752" s="598"/>
      <c r="R752" s="598"/>
      <c r="S752" s="598"/>
      <c r="T752" s="598"/>
      <c r="U752" s="546"/>
      <c r="W752" s="145"/>
    </row>
    <row r="753" spans="2:22" s="82" customFormat="1" ht="30" customHeight="1">
      <c r="B753" s="83"/>
      <c r="C753" s="600"/>
      <c r="D753" s="601"/>
      <c r="E753" s="600"/>
      <c r="F753" s="600"/>
      <c r="G753" s="898" t="s">
        <v>300</v>
      </c>
      <c r="H753" s="899"/>
      <c r="I753" s="899"/>
      <c r="J753" s="900"/>
      <c r="K753" s="111">
        <v>15889827</v>
      </c>
      <c r="L753" s="292"/>
      <c r="M753" s="292"/>
      <c r="N753" s="292"/>
      <c r="O753" s="292"/>
      <c r="P753" s="292"/>
      <c r="Q753" s="292"/>
      <c r="R753" s="292"/>
      <c r="S753" s="292"/>
      <c r="T753" s="292"/>
      <c r="U753" s="547">
        <v>15889827</v>
      </c>
      <c r="V753" s="410"/>
    </row>
    <row r="754" spans="2:22" s="82" customFormat="1" ht="30" customHeight="1">
      <c r="B754" s="83"/>
      <c r="C754" s="600"/>
      <c r="D754" s="601"/>
      <c r="E754" s="600"/>
      <c r="F754" s="600"/>
      <c r="G754" s="898" t="s">
        <v>301</v>
      </c>
      <c r="H754" s="899"/>
      <c r="I754" s="899"/>
      <c r="J754" s="900"/>
      <c r="K754" s="111">
        <v>14234770</v>
      </c>
      <c r="L754" s="292"/>
      <c r="M754" s="292"/>
      <c r="N754" s="292"/>
      <c r="O754" s="292"/>
      <c r="P754" s="292"/>
      <c r="Q754" s="292"/>
      <c r="R754" s="292"/>
      <c r="S754" s="292"/>
      <c r="T754" s="292"/>
      <c r="U754" s="547">
        <v>14234770</v>
      </c>
    </row>
    <row r="755" spans="2:22" s="82" customFormat="1" ht="30" customHeight="1" thickBot="1">
      <c r="B755" s="83"/>
      <c r="C755" s="600"/>
      <c r="D755" s="601"/>
      <c r="E755" s="600"/>
      <c r="F755" s="602"/>
      <c r="G755" s="898" t="s">
        <v>302</v>
      </c>
      <c r="H755" s="899"/>
      <c r="I755" s="899"/>
      <c r="J755" s="900"/>
      <c r="K755" s="111">
        <v>7578510</v>
      </c>
      <c r="L755" s="292"/>
      <c r="M755" s="292"/>
      <c r="N755" s="292"/>
      <c r="O755" s="292"/>
      <c r="P755" s="292"/>
      <c r="Q755" s="292"/>
      <c r="R755" s="292"/>
      <c r="S755" s="292"/>
      <c r="T755" s="292"/>
      <c r="U755" s="547">
        <v>7578510</v>
      </c>
    </row>
    <row r="756" spans="2:22" s="82" customFormat="1" ht="30" customHeight="1" thickBot="1">
      <c r="B756" s="83"/>
      <c r="C756" s="600"/>
      <c r="D756" s="601"/>
      <c r="E756" s="600"/>
      <c r="F756" s="600"/>
      <c r="G756" s="935" t="s">
        <v>390</v>
      </c>
      <c r="H756" s="936"/>
      <c r="I756" s="936"/>
      <c r="J756" s="937"/>
      <c r="K756" s="110">
        <f>K662+K753+K754+K755</f>
        <v>21572195484.481377</v>
      </c>
      <c r="L756" s="603"/>
      <c r="M756" s="603"/>
      <c r="N756" s="603"/>
      <c r="O756" s="603"/>
      <c r="P756" s="603"/>
      <c r="Q756" s="603"/>
      <c r="R756" s="603"/>
      <c r="S756" s="603"/>
      <c r="T756" s="603"/>
      <c r="U756" s="523">
        <f>+U753+U754+U755+U662+U748</f>
        <v>34947990947.738251</v>
      </c>
      <c r="V756" s="345">
        <f>+U756-K756</f>
        <v>13375795463.256874</v>
      </c>
    </row>
    <row r="757" spans="2:22" s="82" customFormat="1" ht="30" customHeight="1" thickBot="1">
      <c r="B757" s="83"/>
      <c r="C757" s="600"/>
      <c r="D757" s="601"/>
      <c r="E757" s="600"/>
      <c r="F757" s="600"/>
      <c r="G757" s="605"/>
      <c r="H757" s="605"/>
      <c r="I757" s="605"/>
      <c r="J757" s="605"/>
      <c r="K757" s="605"/>
      <c r="L757" s="606"/>
      <c r="M757" s="606"/>
      <c r="N757" s="606"/>
      <c r="O757" s="606"/>
      <c r="P757" s="606"/>
      <c r="Q757" s="606"/>
      <c r="R757" s="606"/>
      <c r="S757" s="606"/>
      <c r="T757" s="606"/>
      <c r="U757" s="548"/>
      <c r="V757" s="82" t="s">
        <v>1057</v>
      </c>
    </row>
    <row r="758" spans="2:22" s="82" customFormat="1" ht="30" customHeight="1">
      <c r="B758" s="83"/>
      <c r="C758" s="600"/>
      <c r="D758" s="601"/>
      <c r="E758" s="600"/>
      <c r="F758" s="600"/>
      <c r="G758" s="938" t="s">
        <v>388</v>
      </c>
      <c r="H758" s="939"/>
      <c r="I758" s="939"/>
      <c r="J758" s="940"/>
      <c r="K758" s="115">
        <f>K372</f>
        <v>23617420574.769978</v>
      </c>
      <c r="L758" s="292"/>
      <c r="M758" s="292"/>
      <c r="N758" s="292"/>
      <c r="O758" s="292"/>
      <c r="P758" s="292"/>
      <c r="Q758" s="292"/>
      <c r="R758" s="292"/>
      <c r="S758" s="292"/>
      <c r="T758" s="292"/>
      <c r="U758" s="549">
        <f>U372</f>
        <v>29381955245.513111</v>
      </c>
    </row>
    <row r="759" spans="2:22" s="82" customFormat="1" ht="30" customHeight="1" thickBot="1">
      <c r="B759" s="83"/>
      <c r="C759" s="600"/>
      <c r="D759" s="601"/>
      <c r="E759" s="600"/>
      <c r="F759" s="600"/>
      <c r="G759" s="898" t="s">
        <v>390</v>
      </c>
      <c r="H759" s="899"/>
      <c r="I759" s="899"/>
      <c r="J759" s="900"/>
      <c r="K759" s="111">
        <f>K756</f>
        <v>21572195484.481377</v>
      </c>
      <c r="L759" s="292"/>
      <c r="M759" s="292"/>
      <c r="N759" s="292"/>
      <c r="O759" s="292"/>
      <c r="P759" s="292"/>
      <c r="Q759" s="292"/>
      <c r="R759" s="292"/>
      <c r="S759" s="292"/>
      <c r="T759" s="292"/>
      <c r="U759" s="550">
        <f>+U756</f>
        <v>34947990947.738251</v>
      </c>
    </row>
    <row r="760" spans="2:22" s="82" customFormat="1" ht="30" customHeight="1" thickBot="1">
      <c r="B760" s="83"/>
      <c r="C760" s="600"/>
      <c r="D760" s="601"/>
      <c r="E760" s="600"/>
      <c r="F760" s="600"/>
      <c r="G760" s="932" t="s">
        <v>391</v>
      </c>
      <c r="H760" s="933"/>
      <c r="I760" s="933"/>
      <c r="J760" s="934"/>
      <c r="K760" s="110">
        <f>K758+K759</f>
        <v>45189616059.251358</v>
      </c>
      <c r="L760" s="603"/>
      <c r="M760" s="603"/>
      <c r="N760" s="603"/>
      <c r="O760" s="603"/>
      <c r="P760" s="603"/>
      <c r="Q760" s="603"/>
      <c r="R760" s="603"/>
      <c r="S760" s="603"/>
      <c r="T760" s="603"/>
      <c r="U760" s="551">
        <f>+U758+U759</f>
        <v>64329946193.251358</v>
      </c>
      <c r="V760" s="484">
        <f>+U760-K760</f>
        <v>19140330134</v>
      </c>
    </row>
    <row r="761" spans="2:22" s="82" customFormat="1" ht="16.5" thickBot="1">
      <c r="B761" s="83"/>
      <c r="C761" s="600"/>
      <c r="D761" s="601"/>
      <c r="E761" s="601"/>
      <c r="F761" s="601"/>
      <c r="G761" s="600"/>
      <c r="H761" s="600"/>
      <c r="I761" s="613"/>
      <c r="J761" s="552"/>
      <c r="K761" s="553"/>
      <c r="L761" s="554"/>
      <c r="M761" s="555"/>
      <c r="N761" s="555"/>
      <c r="O761" s="555"/>
      <c r="P761" s="555"/>
      <c r="Q761" s="555"/>
      <c r="R761" s="555"/>
      <c r="S761" s="555"/>
      <c r="T761" s="555"/>
      <c r="U761" s="556"/>
    </row>
    <row r="762" spans="2:22" s="82" customFormat="1" ht="15.75">
      <c r="B762" s="83"/>
      <c r="C762" s="116"/>
      <c r="D762" s="926"/>
      <c r="E762" s="926"/>
      <c r="F762" s="926"/>
      <c r="G762" s="926"/>
      <c r="H762" s="926"/>
      <c r="I762" s="926"/>
      <c r="J762" s="926"/>
      <c r="K762" s="927"/>
      <c r="L762" s="614"/>
      <c r="M762" s="614"/>
      <c r="N762" s="614"/>
      <c r="O762" s="614"/>
      <c r="P762" s="614"/>
      <c r="Q762" s="614"/>
      <c r="R762" s="614"/>
      <c r="S762" s="614"/>
      <c r="T762" s="614"/>
      <c r="U762" s="557"/>
    </row>
    <row r="763" spans="2:22" s="82" customFormat="1" ht="46.5" customHeight="1">
      <c r="B763" s="83"/>
      <c r="C763" s="944" t="s">
        <v>585</v>
      </c>
      <c r="D763" s="945"/>
      <c r="E763" s="945"/>
      <c r="F763" s="945"/>
      <c r="G763" s="945"/>
      <c r="H763" s="950" t="s">
        <v>3</v>
      </c>
      <c r="I763" s="950"/>
      <c r="J763" s="950"/>
      <c r="K763" s="339" t="s">
        <v>10</v>
      </c>
      <c r="L763" s="293"/>
      <c r="M763" s="293"/>
      <c r="N763" s="293"/>
      <c r="O763" s="293"/>
      <c r="P763" s="293"/>
      <c r="Q763" s="293"/>
      <c r="R763" s="293"/>
      <c r="S763" s="293"/>
      <c r="T763" s="293"/>
      <c r="U763" s="558"/>
      <c r="V763" s="483"/>
    </row>
    <row r="764" spans="2:22" s="82" customFormat="1" ht="32.25" customHeight="1">
      <c r="B764" s="83"/>
      <c r="C764" s="944" t="s">
        <v>586</v>
      </c>
      <c r="D764" s="945"/>
      <c r="E764" s="945"/>
      <c r="F764" s="945"/>
      <c r="G764" s="945"/>
      <c r="H764" s="949" t="s">
        <v>11</v>
      </c>
      <c r="I764" s="949"/>
      <c r="J764" s="340" t="s">
        <v>12</v>
      </c>
      <c r="K764" s="341">
        <v>0.2</v>
      </c>
      <c r="L764" s="294"/>
      <c r="M764" s="294"/>
      <c r="N764" s="294"/>
      <c r="O764" s="294"/>
      <c r="P764" s="294"/>
      <c r="Q764" s="294"/>
      <c r="R764" s="294"/>
      <c r="S764" s="294"/>
      <c r="T764" s="294"/>
      <c r="U764" s="559"/>
      <c r="V764" s="245"/>
    </row>
    <row r="765" spans="2:22" s="82" customFormat="1" ht="30" customHeight="1">
      <c r="B765" s="83"/>
      <c r="C765" s="944" t="s">
        <v>587</v>
      </c>
      <c r="D765" s="945"/>
      <c r="E765" s="945"/>
      <c r="F765" s="945"/>
      <c r="G765" s="945"/>
      <c r="H765" s="946" t="s">
        <v>13</v>
      </c>
      <c r="I765" s="947"/>
      <c r="J765" s="340" t="s">
        <v>14</v>
      </c>
      <c r="K765" s="341">
        <v>0.04</v>
      </c>
      <c r="L765" s="294"/>
      <c r="M765" s="294"/>
      <c r="N765" s="294"/>
      <c r="O765" s="294"/>
      <c r="P765" s="294"/>
      <c r="Q765" s="294"/>
      <c r="R765" s="294"/>
      <c r="S765" s="294"/>
      <c r="T765" s="294"/>
      <c r="U765" s="559"/>
      <c r="V765" s="484"/>
    </row>
    <row r="766" spans="2:22" s="82" customFormat="1" ht="58.5" customHeight="1">
      <c r="B766" s="83"/>
      <c r="C766" s="615"/>
      <c r="D766" s="560"/>
      <c r="E766" s="560"/>
      <c r="F766" s="560"/>
      <c r="G766" s="561"/>
      <c r="H766" s="948" t="s">
        <v>15</v>
      </c>
      <c r="I766" s="949"/>
      <c r="J766" s="340" t="s">
        <v>16</v>
      </c>
      <c r="K766" s="341">
        <v>0.05</v>
      </c>
      <c r="L766" s="294"/>
      <c r="M766" s="294"/>
      <c r="N766" s="294"/>
      <c r="O766" s="294"/>
      <c r="P766" s="294"/>
      <c r="Q766" s="294"/>
      <c r="R766" s="294"/>
      <c r="S766" s="294"/>
      <c r="T766" s="294"/>
      <c r="U766" s="559"/>
      <c r="V766" s="862"/>
    </row>
    <row r="767" spans="2:22" ht="57.75" customHeight="1">
      <c r="B767" s="80"/>
      <c r="C767" s="117"/>
      <c r="D767" s="616"/>
      <c r="E767" s="616"/>
      <c r="F767" s="616"/>
      <c r="G767" s="342"/>
      <c r="H767" s="949" t="s">
        <v>17</v>
      </c>
      <c r="I767" s="949"/>
      <c r="J767" s="340" t="s">
        <v>18</v>
      </c>
      <c r="K767" s="341">
        <v>0.29000000000000004</v>
      </c>
      <c r="L767" s="294"/>
      <c r="M767" s="294"/>
      <c r="N767" s="294"/>
      <c r="O767" s="294"/>
      <c r="P767" s="294"/>
      <c r="Q767" s="294"/>
      <c r="R767" s="294"/>
      <c r="S767" s="294"/>
      <c r="T767" s="294"/>
      <c r="U767" s="559"/>
      <c r="V767" s="862"/>
    </row>
    <row r="768" spans="2:22" ht="15.75" thickBot="1">
      <c r="B768" s="80"/>
      <c r="C768" s="117"/>
      <c r="D768" s="118"/>
      <c r="E768" s="118"/>
      <c r="F768" s="616"/>
      <c r="G768" s="119"/>
      <c r="H768" s="942"/>
      <c r="I768" s="942"/>
      <c r="J768" s="942"/>
      <c r="K768" s="943"/>
      <c r="L768" s="617"/>
      <c r="M768" s="618"/>
      <c r="N768" s="618"/>
      <c r="O768" s="618"/>
      <c r="P768" s="618"/>
      <c r="Q768" s="618"/>
      <c r="R768" s="618"/>
      <c r="S768" s="618"/>
      <c r="T768" s="618"/>
      <c r="U768" s="562"/>
    </row>
    <row r="769" spans="2:22" ht="38.450000000000003" customHeight="1">
      <c r="B769" s="80"/>
      <c r="C769" s="120"/>
      <c r="D769" s="618"/>
      <c r="E769" s="618"/>
      <c r="F769" s="120"/>
      <c r="G769" s="618"/>
      <c r="H769" s="120"/>
      <c r="I769" s="120"/>
      <c r="J769" s="120"/>
      <c r="K769" s="120"/>
      <c r="L769" s="617"/>
      <c r="M769" s="618"/>
      <c r="N769" s="618"/>
      <c r="O769" s="618"/>
      <c r="P769" s="618"/>
      <c r="Q769" s="618"/>
      <c r="R769" s="618"/>
      <c r="S769" s="618"/>
      <c r="T769" s="618"/>
      <c r="U769" s="562"/>
      <c r="V769" s="863"/>
    </row>
    <row r="770" spans="2:22" ht="38.450000000000003" customHeight="1">
      <c r="B770" s="80"/>
      <c r="C770" s="618"/>
      <c r="D770" s="618"/>
      <c r="E770" s="618"/>
      <c r="F770" s="618"/>
      <c r="G770" s="618"/>
      <c r="H770" s="618"/>
      <c r="I770" s="618"/>
      <c r="J770" s="618"/>
      <c r="K770" s="618"/>
      <c r="L770" s="617"/>
      <c r="M770" s="618"/>
      <c r="N770" s="618"/>
      <c r="O770" s="618"/>
      <c r="P770" s="618"/>
      <c r="Q770" s="618"/>
      <c r="R770" s="618"/>
      <c r="S770" s="618"/>
      <c r="T770" s="618"/>
      <c r="U770" s="562"/>
    </row>
    <row r="771" spans="2:22" ht="38.450000000000003" customHeight="1">
      <c r="B771" s="80"/>
      <c r="C771" s="618"/>
      <c r="D771" s="618"/>
      <c r="E771" s="618"/>
      <c r="F771" s="618"/>
      <c r="G771" s="618"/>
      <c r="H771" s="618"/>
      <c r="I771" s="618"/>
      <c r="J771" s="618"/>
      <c r="K771" s="618"/>
      <c r="L771" s="617"/>
      <c r="M771" s="618"/>
      <c r="N771" s="618"/>
      <c r="O771" s="618"/>
      <c r="P771" s="618"/>
      <c r="Q771" s="618"/>
      <c r="R771" s="618"/>
      <c r="S771" s="618"/>
      <c r="T771" s="618"/>
      <c r="U771" s="562"/>
      <c r="V771" s="863"/>
    </row>
    <row r="772" spans="2:22" ht="27.6" customHeight="1">
      <c r="B772" s="80"/>
      <c r="C772" s="618"/>
      <c r="D772" s="618"/>
      <c r="E772" s="618"/>
      <c r="F772" s="618"/>
      <c r="G772" s="618" t="s">
        <v>1179</v>
      </c>
      <c r="H772" s="618"/>
      <c r="I772" s="618"/>
      <c r="J772" s="976" t="s">
        <v>1180</v>
      </c>
      <c r="K772" s="976"/>
      <c r="L772" s="618"/>
      <c r="M772" s="618"/>
      <c r="N772" s="619"/>
      <c r="O772" s="977"/>
      <c r="P772" s="977"/>
      <c r="Q772" s="977"/>
      <c r="R772" s="977"/>
      <c r="S772" s="618"/>
      <c r="T772" s="618"/>
      <c r="U772" s="562"/>
    </row>
    <row r="773" spans="2:22" ht="30" customHeight="1">
      <c r="B773" s="80"/>
      <c r="C773" s="618"/>
      <c r="D773" s="618"/>
      <c r="E773" s="618"/>
      <c r="F773" s="618"/>
      <c r="G773" s="974" t="s">
        <v>1182</v>
      </c>
      <c r="H773" s="974"/>
      <c r="I773" s="618"/>
      <c r="J773" s="974" t="s">
        <v>1183</v>
      </c>
      <c r="K773" s="974"/>
      <c r="L773" s="620"/>
      <c r="M773" s="620"/>
      <c r="N773" s="619"/>
      <c r="O773" s="974"/>
      <c r="P773" s="974"/>
      <c r="Q773" s="974"/>
      <c r="R773" s="974"/>
      <c r="S773" s="618"/>
      <c r="T773" s="618"/>
      <c r="U773" s="562"/>
    </row>
    <row r="774" spans="2:22" ht="24" customHeight="1">
      <c r="B774" s="80"/>
      <c r="C774" s="618"/>
      <c r="D774" s="618"/>
      <c r="E774" s="618"/>
      <c r="F774" s="618"/>
      <c r="G774" s="974" t="s">
        <v>1185</v>
      </c>
      <c r="H774" s="974"/>
      <c r="I774" s="618"/>
      <c r="J774" s="974" t="s">
        <v>1185</v>
      </c>
      <c r="K774" s="974"/>
      <c r="L774" s="620"/>
      <c r="M774" s="620"/>
      <c r="N774" s="619"/>
      <c r="O774" s="974"/>
      <c r="P774" s="974"/>
      <c r="Q774" s="974"/>
      <c r="R774" s="974"/>
      <c r="S774" s="618"/>
      <c r="T774" s="618"/>
      <c r="U774" s="562"/>
    </row>
    <row r="775" spans="2:22" ht="36" customHeight="1">
      <c r="B775" s="80"/>
      <c r="C775" s="618"/>
      <c r="D775" s="618"/>
      <c r="E775" s="618"/>
      <c r="F775" s="618"/>
      <c r="G775" s="974" t="s">
        <v>1171</v>
      </c>
      <c r="H775" s="974"/>
      <c r="I775" s="618"/>
      <c r="J775" s="974" t="s">
        <v>1187</v>
      </c>
      <c r="K775" s="974"/>
      <c r="L775" s="620"/>
      <c r="M775" s="620"/>
      <c r="N775" s="618"/>
      <c r="O775" s="974"/>
      <c r="P775" s="974"/>
      <c r="Q775" s="974"/>
      <c r="R775" s="974"/>
      <c r="S775" s="618"/>
      <c r="T775" s="618"/>
      <c r="U775" s="562"/>
    </row>
    <row r="776" spans="2:22" ht="16.149999999999999" customHeight="1" thickBot="1">
      <c r="B776" s="563"/>
      <c r="C776" s="564"/>
      <c r="D776" s="564"/>
      <c r="E776" s="565"/>
      <c r="F776" s="564"/>
      <c r="G776" s="975" t="s">
        <v>1170</v>
      </c>
      <c r="H776" s="975"/>
      <c r="I776" s="564"/>
      <c r="J776" s="975" t="s">
        <v>1172</v>
      </c>
      <c r="K776" s="975"/>
      <c r="L776" s="578"/>
      <c r="M776" s="578"/>
      <c r="N776" s="565"/>
      <c r="O776" s="975"/>
      <c r="P776" s="975"/>
      <c r="Q776" s="975"/>
      <c r="R776" s="975"/>
      <c r="S776" s="565"/>
      <c r="T776" s="565"/>
      <c r="U776" s="566"/>
    </row>
    <row r="779" spans="2:22" ht="15.75">
      <c r="H779" s="121"/>
    </row>
  </sheetData>
  <mergeCells count="168">
    <mergeCell ref="G775:H775"/>
    <mergeCell ref="J775:K775"/>
    <mergeCell ref="O775:R775"/>
    <mergeCell ref="G776:H776"/>
    <mergeCell ref="J776:K776"/>
    <mergeCell ref="O776:R776"/>
    <mergeCell ref="J772:K772"/>
    <mergeCell ref="O772:R772"/>
    <mergeCell ref="G773:H773"/>
    <mergeCell ref="J773:K773"/>
    <mergeCell ref="O773:R773"/>
    <mergeCell ref="G774:H774"/>
    <mergeCell ref="J774:K774"/>
    <mergeCell ref="O774:R774"/>
    <mergeCell ref="C15:F15"/>
    <mergeCell ref="H15:J15"/>
    <mergeCell ref="P15:S15"/>
    <mergeCell ref="C16:F16"/>
    <mergeCell ref="H16:J16"/>
    <mergeCell ref="K16:N16"/>
    <mergeCell ref="P16:S16"/>
    <mergeCell ref="C6:S11"/>
    <mergeCell ref="C12:F12"/>
    <mergeCell ref="H12:N12"/>
    <mergeCell ref="P12:S12"/>
    <mergeCell ref="C13:G13"/>
    <mergeCell ref="H13:J13"/>
    <mergeCell ref="K13:N13"/>
    <mergeCell ref="P13:S13"/>
    <mergeCell ref="C14:F14"/>
    <mergeCell ref="H14:J14"/>
    <mergeCell ref="K14:N14"/>
    <mergeCell ref="P14:S14"/>
    <mergeCell ref="C674:Q674"/>
    <mergeCell ref="C677:Q677"/>
    <mergeCell ref="C376:K376"/>
    <mergeCell ref="C433:Q433"/>
    <mergeCell ref="S376:U376"/>
    <mergeCell ref="C687:F687"/>
    <mergeCell ref="C696:Q696"/>
    <mergeCell ref="C683:Q683"/>
    <mergeCell ref="C682:F682"/>
    <mergeCell ref="C676:F676"/>
    <mergeCell ref="C668:Q668"/>
    <mergeCell ref="C691:Q691"/>
    <mergeCell ref="C695:F695"/>
    <mergeCell ref="C688:Q688"/>
    <mergeCell ref="C690:F690"/>
    <mergeCell ref="G754:J754"/>
    <mergeCell ref="C33:Q33"/>
    <mergeCell ref="H768:K768"/>
    <mergeCell ref="C765:G765"/>
    <mergeCell ref="H765:I765"/>
    <mergeCell ref="H766:I766"/>
    <mergeCell ref="H767:I767"/>
    <mergeCell ref="C763:G763"/>
    <mergeCell ref="H763:J763"/>
    <mergeCell ref="C764:G764"/>
    <mergeCell ref="H764:I764"/>
    <mergeCell ref="C207:Q207"/>
    <mergeCell ref="G369:J369"/>
    <mergeCell ref="G370:J370"/>
    <mergeCell ref="G371:J371"/>
    <mergeCell ref="C633:Q633"/>
    <mergeCell ref="C551:Q551"/>
    <mergeCell ref="C388:Q388"/>
    <mergeCell ref="C395:Q395"/>
    <mergeCell ref="C408:Q408"/>
    <mergeCell ref="C424:Q424"/>
    <mergeCell ref="C307:Q307"/>
    <mergeCell ref="L285:L306"/>
    <mergeCell ref="C747:F747"/>
    <mergeCell ref="D762:K762"/>
    <mergeCell ref="C18:K18"/>
    <mergeCell ref="E19:F19"/>
    <mergeCell ref="C311:J311"/>
    <mergeCell ref="C40:Q40"/>
    <mergeCell ref="E377:F377"/>
    <mergeCell ref="G760:J760"/>
    <mergeCell ref="C662:J662"/>
    <mergeCell ref="G755:J755"/>
    <mergeCell ref="G756:J756"/>
    <mergeCell ref="G758:J758"/>
    <mergeCell ref="G759:J759"/>
    <mergeCell ref="G753:J753"/>
    <mergeCell ref="C565:Q565"/>
    <mergeCell ref="M539:N539"/>
    <mergeCell ref="C625:Q625"/>
    <mergeCell ref="C629:Q629"/>
    <mergeCell ref="C448:Q448"/>
    <mergeCell ref="C453:Q453"/>
    <mergeCell ref="C526:Q526"/>
    <mergeCell ref="C540:Q540"/>
    <mergeCell ref="L81:L95"/>
    <mergeCell ref="C347:Q347"/>
    <mergeCell ref="C358:Q358"/>
    <mergeCell ref="C17:Q17"/>
    <mergeCell ref="C378:Q378"/>
    <mergeCell ref="C53:Q53"/>
    <mergeCell ref="C71:Q71"/>
    <mergeCell ref="C80:Q80"/>
    <mergeCell ref="C96:Q96"/>
    <mergeCell ref="C101:Q101"/>
    <mergeCell ref="C168:Q168"/>
    <mergeCell ref="C182:Q182"/>
    <mergeCell ref="C193:Q193"/>
    <mergeCell ref="M376:Q376"/>
    <mergeCell ref="C357:F357"/>
    <mergeCell ref="C363:F363"/>
    <mergeCell ref="C272:Q272"/>
    <mergeCell ref="C276:Q276"/>
    <mergeCell ref="C284:Q284"/>
    <mergeCell ref="L308:L311"/>
    <mergeCell ref="L277:L283"/>
    <mergeCell ref="P369:S369"/>
    <mergeCell ref="S18:U18"/>
    <mergeCell ref="R21:R32"/>
    <mergeCell ref="C333:Q333"/>
    <mergeCell ref="L21:L32"/>
    <mergeCell ref="L97:L100"/>
    <mergeCell ref="C748:J748"/>
    <mergeCell ref="R194:R206"/>
    <mergeCell ref="L273:L275"/>
    <mergeCell ref="L194:L206"/>
    <mergeCell ref="R102:R167"/>
    <mergeCell ref="R169:R181"/>
    <mergeCell ref="R183:R192"/>
    <mergeCell ref="L169:L181"/>
    <mergeCell ref="L102:L167"/>
    <mergeCell ref="L183:L192"/>
    <mergeCell ref="P370:S370"/>
    <mergeCell ref="P371:S371"/>
    <mergeCell ref="P372:S372"/>
    <mergeCell ref="C665:U665"/>
    <mergeCell ref="C666:K666"/>
    <mergeCell ref="M666:Q666"/>
    <mergeCell ref="S666:U666"/>
    <mergeCell ref="C366:J366"/>
    <mergeCell ref="M366:Q366"/>
    <mergeCell ref="C315:U315"/>
    <mergeCell ref="C316:K316"/>
    <mergeCell ref="M316:Q316"/>
    <mergeCell ref="S316:U316"/>
    <mergeCell ref="E317:F317"/>
    <mergeCell ref="G372:J372"/>
    <mergeCell ref="C702:Q702"/>
    <mergeCell ref="C327:Q327"/>
    <mergeCell ref="C332:F332"/>
    <mergeCell ref="C337:F337"/>
    <mergeCell ref="R97:R100"/>
    <mergeCell ref="L18:L19"/>
    <mergeCell ref="R72:R79"/>
    <mergeCell ref="M18:Q18"/>
    <mergeCell ref="L41:L52"/>
    <mergeCell ref="L54:L70"/>
    <mergeCell ref="L72:L79"/>
    <mergeCell ref="C323:F323"/>
    <mergeCell ref="C324:Q324"/>
    <mergeCell ref="C326:F326"/>
    <mergeCell ref="C364:J364"/>
    <mergeCell ref="C318:Q318"/>
    <mergeCell ref="C338:Q338"/>
    <mergeCell ref="C341:F341"/>
    <mergeCell ref="C342:Q342"/>
    <mergeCell ref="C346:F346"/>
    <mergeCell ref="C701:F701"/>
    <mergeCell ref="C673:F673"/>
    <mergeCell ref="E667:F667"/>
  </mergeCells>
  <phoneticPr fontId="8" type="noConversion"/>
  <pageMargins left="0.11811023622047245" right="0.11811023622047245" top="0.15748031496062992" bottom="0.15748031496062992" header="0.31496062992125984" footer="0.31496062992125984"/>
  <pageSetup scale="2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www.w3.org/2000/xmlns/"/>
    <ds:schemaRef ds:uri="a6cb9e4b-f1d1-4245-83ec-6cad768d538a"/>
    <ds:schemaRef ds:uri="http://www.w3.org/2001/XMLSchema-instance"/>
    <ds:schemaRef ds:uri="9d85dbaf-23eb-4e57-a637-93dcacc8b1a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MEMORIAS DE CANTIDADES</vt:lpstr>
      <vt:lpstr>PROPUESTA ECONOMICA(Proponente)</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lpbarriosi@hotmail.com</cp:lastModifiedBy>
  <cp:revision/>
  <cp:lastPrinted>2024-09-11T20:00:02Z</cp:lastPrinted>
  <dcterms:created xsi:type="dcterms:W3CDTF">2006-06-27T16:47:25Z</dcterms:created>
  <dcterms:modified xsi:type="dcterms:W3CDTF">2026-05-08T23:16:45Z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