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jimeneo\Documents\1. PROCESOS\2026\5. VIGILANCIA LICITACIÓN\"/>
    </mc:Choice>
  </mc:AlternateContent>
  <xr:revisionPtr revIDLastSave="0" documentId="13_ncr:1_{777CDEB9-EBED-4B97-8868-57B203CACFE0}" xr6:coauthVersionLast="47" xr6:coauthVersionMax="47" xr10:uidLastSave="{00000000-0000-0000-0000-000000000000}"/>
  <bookViews>
    <workbookView xWindow="-105" yWindow="0" windowWidth="14610" windowHeight="15585" xr2:uid="{D447DAC2-1CF0-47E8-82E6-93FD02EA8DE8}"/>
  </bookViews>
  <sheets>
    <sheet name="UBICACIÓN DE LOS SERVICIOS" sheetId="28" r:id="rId1"/>
    <sheet name="RESUMEN" sheetId="23" r:id="rId2"/>
    <sheet name="LIQUIDACIÓN POE" sheetId="27" r:id="rId3"/>
  </sheets>
  <definedNames>
    <definedName name="A" localSheetId="0">#REF!</definedName>
    <definedName name="A">#REF!</definedName>
    <definedName name="_xlnm.Print_Area" localSheetId="0">'UBICACIÓN DE LOS SERVICIOS'!$B$1:$K$70</definedName>
    <definedName name="_xlnm.Print_Titles" localSheetId="0">'UBICACIÓN DE LOS SERVICIOS'!$15:$16</definedName>
    <definedName name="USC" localSheetId="0">#REF!</definedName>
    <definedName name="US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0" i="28" l="1"/>
  <c r="J68" i="28"/>
  <c r="I68" i="28"/>
  <c r="H68" i="28"/>
  <c r="G68" i="28"/>
  <c r="E68" i="28"/>
  <c r="K67" i="28"/>
  <c r="K66" i="28"/>
  <c r="K65" i="28"/>
  <c r="K64" i="28"/>
  <c r="K63" i="28"/>
  <c r="K62" i="28"/>
  <c r="K61" i="28"/>
  <c r="K60" i="28"/>
  <c r="K59" i="28"/>
  <c r="K58" i="28"/>
  <c r="K57" i="28"/>
  <c r="K56" i="28"/>
  <c r="K55" i="28"/>
  <c r="K54" i="28"/>
  <c r="K53" i="28"/>
  <c r="K52" i="28"/>
  <c r="K51" i="28"/>
  <c r="K50" i="28"/>
  <c r="K49" i="28"/>
  <c r="K48" i="28"/>
  <c r="K47" i="28"/>
  <c r="K46" i="28"/>
  <c r="K45" i="28"/>
  <c r="K44" i="28"/>
  <c r="K43" i="28"/>
  <c r="K42" i="28"/>
  <c r="K41" i="28"/>
  <c r="K40" i="28"/>
  <c r="K39" i="28"/>
  <c r="K38" i="28"/>
  <c r="K37" i="28"/>
  <c r="K36" i="28"/>
  <c r="K35" i="28"/>
  <c r="K34" i="28"/>
  <c r="K33" i="28"/>
  <c r="K32" i="28"/>
  <c r="K31" i="28"/>
  <c r="K30" i="28"/>
  <c r="F29" i="28"/>
  <c r="K29" i="28" s="1"/>
  <c r="K28" i="28"/>
  <c r="K27" i="28"/>
  <c r="K26" i="28"/>
  <c r="K25" i="28"/>
  <c r="K24" i="28"/>
  <c r="K23" i="28"/>
  <c r="K68" i="28" s="1"/>
  <c r="K22" i="28"/>
  <c r="K21" i="28"/>
  <c r="K20" i="28"/>
  <c r="K19" i="28"/>
  <c r="K18" i="28"/>
  <c r="K17" i="28"/>
  <c r="J11" i="28"/>
  <c r="J70" i="28" s="1"/>
  <c r="I11" i="28"/>
  <c r="I70" i="28" s="1"/>
  <c r="H11" i="28"/>
  <c r="G11" i="28"/>
  <c r="G70" i="28" s="1"/>
  <c r="F11" i="28"/>
  <c r="E11" i="28"/>
  <c r="E70" i="28" s="1"/>
  <c r="K10" i="28"/>
  <c r="K9" i="28"/>
  <c r="K8" i="28"/>
  <c r="K7" i="28"/>
  <c r="K11" i="28" s="1"/>
  <c r="Q74" i="27"/>
  <c r="R73" i="27"/>
  <c r="R72" i="27"/>
  <c r="O69" i="27"/>
  <c r="I67" i="27"/>
  <c r="E67" i="27"/>
  <c r="G67" i="27" s="1"/>
  <c r="M67" i="27" s="1"/>
  <c r="N67" i="27" s="1"/>
  <c r="P67" i="27" s="1"/>
  <c r="I66" i="27"/>
  <c r="G66" i="27"/>
  <c r="M66" i="27" s="1"/>
  <c r="N66" i="27" s="1"/>
  <c r="P66" i="27" s="1"/>
  <c r="E66" i="27"/>
  <c r="I65" i="27"/>
  <c r="E65" i="27"/>
  <c r="G65" i="27" s="1"/>
  <c r="M65" i="27" s="1"/>
  <c r="N65" i="27" s="1"/>
  <c r="P65" i="27" s="1"/>
  <c r="I63" i="27"/>
  <c r="E63" i="27"/>
  <c r="G63" i="27" s="1"/>
  <c r="M63" i="27" s="1"/>
  <c r="N63" i="27" s="1"/>
  <c r="P63" i="27" s="1"/>
  <c r="E62" i="27"/>
  <c r="G62" i="27" s="1"/>
  <c r="M62" i="27" s="1"/>
  <c r="N62" i="27" s="1"/>
  <c r="P62" i="27" s="1"/>
  <c r="E61" i="27"/>
  <c r="G61" i="27" s="1"/>
  <c r="M61" i="27" s="1"/>
  <c r="N61" i="27" s="1"/>
  <c r="P61" i="27" s="1"/>
  <c r="Q56" i="27"/>
  <c r="R55" i="27"/>
  <c r="I48" i="27" s="1"/>
  <c r="R54" i="27"/>
  <c r="O51" i="27"/>
  <c r="I49" i="27"/>
  <c r="E49" i="27"/>
  <c r="G49" i="27" s="1"/>
  <c r="M49" i="27" s="1"/>
  <c r="N49" i="27" s="1"/>
  <c r="P49" i="27" s="1"/>
  <c r="E48" i="27"/>
  <c r="G48" i="27" s="1"/>
  <c r="M48" i="27" s="1"/>
  <c r="N48" i="27" s="1"/>
  <c r="P48" i="27" s="1"/>
  <c r="I47" i="27"/>
  <c r="E47" i="27"/>
  <c r="G47" i="27" s="1"/>
  <c r="M47" i="27" s="1"/>
  <c r="N47" i="27" s="1"/>
  <c r="P47" i="27" s="1"/>
  <c r="I45" i="27"/>
  <c r="E45" i="27"/>
  <c r="G45" i="27" s="1"/>
  <c r="M45" i="27" s="1"/>
  <c r="N45" i="27" s="1"/>
  <c r="P45" i="27" s="1"/>
  <c r="E44" i="27"/>
  <c r="G44" i="27" s="1"/>
  <c r="M44" i="27" s="1"/>
  <c r="N44" i="27" s="1"/>
  <c r="P44" i="27" s="1"/>
  <c r="S44" i="27" s="1"/>
  <c r="E43" i="27"/>
  <c r="G43" i="27" s="1"/>
  <c r="M43" i="27" s="1"/>
  <c r="N43" i="27" s="1"/>
  <c r="P43" i="27" s="1"/>
  <c r="Q38" i="27"/>
  <c r="R37" i="27"/>
  <c r="R36" i="27"/>
  <c r="O33" i="27"/>
  <c r="I31" i="27"/>
  <c r="E31" i="27"/>
  <c r="G31" i="27" s="1"/>
  <c r="M31" i="27" s="1"/>
  <c r="N31" i="27" s="1"/>
  <c r="P31" i="27" s="1"/>
  <c r="Q31" i="27" s="1"/>
  <c r="R31" i="27" s="1"/>
  <c r="I30" i="27"/>
  <c r="E30" i="27"/>
  <c r="G30" i="27" s="1"/>
  <c r="M30" i="27" s="1"/>
  <c r="N30" i="27" s="1"/>
  <c r="P30" i="27" s="1"/>
  <c r="Q30" i="27" s="1"/>
  <c r="R30" i="27" s="1"/>
  <c r="I29" i="27"/>
  <c r="E29" i="27"/>
  <c r="G29" i="27" s="1"/>
  <c r="M29" i="27" s="1"/>
  <c r="N29" i="27" s="1"/>
  <c r="P29" i="27" s="1"/>
  <c r="Q29" i="27" s="1"/>
  <c r="R29" i="27" s="1"/>
  <c r="I27" i="27"/>
  <c r="E27" i="27"/>
  <c r="G27" i="27" s="1"/>
  <c r="M27" i="27" s="1"/>
  <c r="N27" i="27" s="1"/>
  <c r="P27" i="27" s="1"/>
  <c r="Q27" i="27" s="1"/>
  <c r="R27" i="27" s="1"/>
  <c r="E26" i="27"/>
  <c r="G26" i="27" s="1"/>
  <c r="M26" i="27" s="1"/>
  <c r="N26" i="27" s="1"/>
  <c r="P26" i="27" s="1"/>
  <c r="Q26" i="27" s="1"/>
  <c r="R26" i="27" s="1"/>
  <c r="E25" i="27"/>
  <c r="G25" i="27" s="1"/>
  <c r="M25" i="27" s="1"/>
  <c r="N25" i="27" s="1"/>
  <c r="P25" i="27" s="1"/>
  <c r="Q20" i="27"/>
  <c r="R19" i="27"/>
  <c r="I11" i="27" s="1"/>
  <c r="M11" i="27" s="1"/>
  <c r="N11" i="27" s="1"/>
  <c r="P11" i="27" s="1"/>
  <c r="Q11" i="27" s="1"/>
  <c r="R11" i="27" s="1"/>
  <c r="R18" i="27"/>
  <c r="O15" i="27"/>
  <c r="E13" i="27"/>
  <c r="G13" i="27" s="1"/>
  <c r="E12" i="27"/>
  <c r="G12" i="27" s="1"/>
  <c r="G11" i="27"/>
  <c r="E11" i="27"/>
  <c r="E9" i="27"/>
  <c r="G9" i="27" s="1"/>
  <c r="E8" i="27"/>
  <c r="G8" i="27" s="1"/>
  <c r="M8" i="27" s="1"/>
  <c r="N8" i="27" s="1"/>
  <c r="P8" i="27" s="1"/>
  <c r="Q8" i="27" s="1"/>
  <c r="R8" i="27" s="1"/>
  <c r="E7" i="27"/>
  <c r="G7" i="27" s="1"/>
  <c r="M7" i="27" s="1"/>
  <c r="N7" i="27" s="1"/>
  <c r="P7" i="27" s="1"/>
  <c r="K70" i="28" l="1"/>
  <c r="F68" i="28"/>
  <c r="F70" i="28" s="1"/>
  <c r="Q47" i="27"/>
  <c r="V47" i="27"/>
  <c r="R47" i="27"/>
  <c r="U47" i="27"/>
  <c r="T47" i="27"/>
  <c r="S47" i="27"/>
  <c r="P51" i="27"/>
  <c r="U43" i="27"/>
  <c r="T43" i="27"/>
  <c r="S43" i="27"/>
  <c r="R43" i="27"/>
  <c r="Q43" i="27"/>
  <c r="V43" i="27"/>
  <c r="Q25" i="27"/>
  <c r="P33" i="27"/>
  <c r="Q63" i="27"/>
  <c r="T63" i="27"/>
  <c r="V63" i="27"/>
  <c r="U63" i="27"/>
  <c r="S63" i="27"/>
  <c r="S48" i="27"/>
  <c r="R48" i="27"/>
  <c r="Q48" i="27"/>
  <c r="V48" i="27"/>
  <c r="T48" i="27"/>
  <c r="R67" i="27"/>
  <c r="Q67" i="27"/>
  <c r="V67" i="27"/>
  <c r="U67" i="27"/>
  <c r="S67" i="27"/>
  <c r="M13" i="27"/>
  <c r="N13" i="27" s="1"/>
  <c r="P13" i="27" s="1"/>
  <c r="Q13" i="27" s="1"/>
  <c r="R13" i="27" s="1"/>
  <c r="V61" i="27"/>
  <c r="U61" i="27"/>
  <c r="P69" i="27"/>
  <c r="T61" i="27"/>
  <c r="S61" i="27"/>
  <c r="Q61" i="27"/>
  <c r="R61" i="27"/>
  <c r="R69" i="27" s="1"/>
  <c r="T45" i="27"/>
  <c r="V45" i="27"/>
  <c r="S45" i="27"/>
  <c r="Q45" i="27"/>
  <c r="U45" i="27"/>
  <c r="R45" i="27"/>
  <c r="V65" i="27"/>
  <c r="U65" i="27"/>
  <c r="T65" i="27"/>
  <c r="S65" i="27"/>
  <c r="R65" i="27"/>
  <c r="Q65" i="27"/>
  <c r="W65" i="27" s="1"/>
  <c r="U66" i="27"/>
  <c r="T66" i="27"/>
  <c r="S66" i="27"/>
  <c r="R66" i="27"/>
  <c r="Q66" i="27"/>
  <c r="V66" i="27"/>
  <c r="U49" i="27"/>
  <c r="T49" i="27"/>
  <c r="S49" i="27"/>
  <c r="R49" i="27"/>
  <c r="Q49" i="27"/>
  <c r="V49" i="27"/>
  <c r="R44" i="27"/>
  <c r="Q44" i="27"/>
  <c r="U44" i="27"/>
  <c r="V44" i="27"/>
  <c r="S62" i="27"/>
  <c r="V62" i="27"/>
  <c r="T62" i="27"/>
  <c r="Q62" i="27"/>
  <c r="U62" i="27"/>
  <c r="R62" i="27"/>
  <c r="T44" i="27"/>
  <c r="R63" i="27"/>
  <c r="Q7" i="27"/>
  <c r="M9" i="27"/>
  <c r="N9" i="27" s="1"/>
  <c r="P9" i="27" s="1"/>
  <c r="Q9" i="27" s="1"/>
  <c r="R9" i="27" s="1"/>
  <c r="U48" i="27"/>
  <c r="T67" i="27"/>
  <c r="M12" i="27"/>
  <c r="N12" i="27" s="1"/>
  <c r="P12" i="27" s="1"/>
  <c r="Q12" i="27" s="1"/>
  <c r="R12" i="27" s="1"/>
  <c r="I9" i="27"/>
  <c r="I13" i="27"/>
  <c r="I12" i="27"/>
  <c r="W63" i="27" l="1"/>
  <c r="U69" i="27"/>
  <c r="Q51" i="27"/>
  <c r="W43" i="27"/>
  <c r="W62" i="27"/>
  <c r="T51" i="27"/>
  <c r="T69" i="27"/>
  <c r="P15" i="27"/>
  <c r="V51" i="27"/>
  <c r="W48" i="27"/>
  <c r="S69" i="27"/>
  <c r="Q33" i="27"/>
  <c r="R25" i="27"/>
  <c r="R33" i="27" s="1"/>
  <c r="V69" i="27"/>
  <c r="R51" i="27"/>
  <c r="W44" i="27"/>
  <c r="W45" i="27"/>
  <c r="Q69" i="27"/>
  <c r="W61" i="27"/>
  <c r="W69" i="27" s="1"/>
  <c r="Q15" i="27"/>
  <c r="R7" i="27"/>
  <c r="R15" i="27" s="1"/>
  <c r="W66" i="27"/>
  <c r="S51" i="27"/>
  <c r="U51" i="27"/>
  <c r="W67" i="27"/>
  <c r="W49" i="27"/>
  <c r="W47" i="27"/>
  <c r="E79" i="27" l="1"/>
  <c r="W51" i="27"/>
  <c r="E78" i="27"/>
  <c r="E80" i="27" s="1"/>
  <c r="D38" i="23" l="1"/>
  <c r="D25" i="23"/>
  <c r="D13" i="23"/>
</calcChain>
</file>

<file path=xl/sharedStrings.xml><?xml version="1.0" encoding="utf-8"?>
<sst xmlns="http://schemas.openxmlformats.org/spreadsheetml/2006/main" count="422" uniqueCount="153">
  <si>
    <t>ÍTEM</t>
  </si>
  <si>
    <t>TIPO DE SERVICIO</t>
  </si>
  <si>
    <t>DESCRIPCIÓN DEL SERVICIO DE VIGILANCIA</t>
  </si>
  <si>
    <t>N° DE SERVICIOS REQUERIDOS</t>
  </si>
  <si>
    <t>A</t>
  </si>
  <si>
    <t xml:space="preserve">Servicio 24 horas, 30 días al mes, con arma (lunes a domingo) </t>
  </si>
  <si>
    <t>B</t>
  </si>
  <si>
    <t xml:space="preserve">Servicio 24 horas, 30 días al mes, sin arma (lunes a domingo) </t>
  </si>
  <si>
    <t>C</t>
  </si>
  <si>
    <t xml:space="preserve">Servicio 12 horas diurnas, 30 días al mes, sin arma (lunes a domingo) </t>
  </si>
  <si>
    <t>D</t>
  </si>
  <si>
    <t>E</t>
  </si>
  <si>
    <t>Servicio 8 horas diurnas sin arma (lunes a viernes)</t>
  </si>
  <si>
    <t>TIPO DE SERVICIOS</t>
  </si>
  <si>
    <t>CANTIDAD TOTAL</t>
  </si>
  <si>
    <t>MUNICIPIO</t>
  </si>
  <si>
    <t>SEDE JUDICIAL</t>
  </si>
  <si>
    <t>UBICACIÓN</t>
  </si>
  <si>
    <t>CALI</t>
  </si>
  <si>
    <t>PALACIO DE JUSTICIA</t>
  </si>
  <si>
    <t>CALLE 13</t>
  </si>
  <si>
    <t>SOTANOS 1 Y 2</t>
  </si>
  <si>
    <t>TORRE B PISO 1 (Ingreso público)</t>
  </si>
  <si>
    <t>PALACIO NACIONAL</t>
  </si>
  <si>
    <t>RECEPCION</t>
  </si>
  <si>
    <t>CRA. 10 ENTRADA PRINCIPAL (Manejo de scanner)</t>
  </si>
  <si>
    <t>ENTRADA CARRERA 10 MANEJO ARCO DETECTOR Y GARRET</t>
  </si>
  <si>
    <t>CALLE 12 MANEJO ARCO DETECTOR Y GARRET</t>
  </si>
  <si>
    <t>SALA DE MONITOREO</t>
  </si>
  <si>
    <t>RONDERO TORRES A y B (Coordinador de puesto)</t>
  </si>
  <si>
    <t>PORTERIA</t>
  </si>
  <si>
    <t>RONDERO</t>
  </si>
  <si>
    <t>ADOLESCENTES</t>
  </si>
  <si>
    <t>ENTRECEIBAS</t>
  </si>
  <si>
    <t>LEY DE TIERRAS</t>
  </si>
  <si>
    <t>BRITILANA</t>
  </si>
  <si>
    <t>EDIFICIO GOYA</t>
  </si>
  <si>
    <t>BUENAVENTURA</t>
  </si>
  <si>
    <t>SALA DE MONITOREO EN DIA Y RONDERO EXTERNO EN LA NOCHE</t>
  </si>
  <si>
    <t>EDIFICIO JIRETH</t>
  </si>
  <si>
    <t>CALLE 9 No. 2-21</t>
  </si>
  <si>
    <t>BUGA</t>
  </si>
  <si>
    <t>PARQUEADERO</t>
  </si>
  <si>
    <t>PALMIRA</t>
  </si>
  <si>
    <t xml:space="preserve">CALLE 22 ENTRE CRA. 28 Y 29 SEDE FAMILIA </t>
  </si>
  <si>
    <t>FLORIDA</t>
  </si>
  <si>
    <t>JUZGADOS</t>
  </si>
  <si>
    <t>CANDELARIA</t>
  </si>
  <si>
    <t>PRADERA</t>
  </si>
  <si>
    <t>ROLDANILLO</t>
  </si>
  <si>
    <t>SEVILLA</t>
  </si>
  <si>
    <t>CARTAGO</t>
  </si>
  <si>
    <t>TULUA</t>
  </si>
  <si>
    <t>YUMBO</t>
  </si>
  <si>
    <t>EL CERRITO</t>
  </si>
  <si>
    <t>JUZGADO</t>
  </si>
  <si>
    <t>UNIDAD 227</t>
  </si>
  <si>
    <t>Servicio 12 horas diurnas con arma (lunes a viernes sin festivos)</t>
  </si>
  <si>
    <t>Servicio 12 horas diurnas sin arma (lunes a viernes)</t>
  </si>
  <si>
    <t>F</t>
  </si>
  <si>
    <t>UNIDAD 827</t>
  </si>
  <si>
    <t>TIPO A
SERVICIO 24 HORAS DE DOMINGO A DOMINGO CON ARMA</t>
  </si>
  <si>
    <t>TIPO B 
SERVICIO 24 HORAS DE DOMINGO A DOMINGO SIN ARMA</t>
  </si>
  <si>
    <t>TIPO C 
SERVICIO 12 HORAS DIURNAS DE DOMINGO A DOMINGO 6 AM A 6 PM SIN ARMA</t>
  </si>
  <si>
    <t>TIPO D 
SERVICIO 12 HORAS DIURNAS CON ARMA (LUNES A VIERNES SIN FESTIVOS)</t>
  </si>
  <si>
    <t>TIPO E 
SERVICIO 12 HORAS DIURNAS DE LUNES A VIERNES DE 6 AM A 6 PM SIN ARMA SIN FESTIVOS</t>
  </si>
  <si>
    <t>TIPO F
SERVICIO 8 HORAS DIURNAS DE LUNES A VIERNES DE 8 AM A 12 M Y DE 1 A 5 PM SIN ARMA SIN FESTIVOS</t>
  </si>
  <si>
    <t>REGISTRO SALIDA CRA 10</t>
  </si>
  <si>
    <t>RONDERO TORRE A</t>
  </si>
  <si>
    <t>CONTROL ACCESO DE VEHICULOS</t>
  </si>
  <si>
    <t>GUARDAS EXTERNOS</t>
  </si>
  <si>
    <t>MONITOREO</t>
  </si>
  <si>
    <t>EDIFICIO OTERO</t>
  </si>
  <si>
    <t>JAMUNDI</t>
  </si>
  <si>
    <t xml:space="preserve">Juzgados - Carrera 12 # 11-60 (5 locales) </t>
  </si>
  <si>
    <t xml:space="preserve">Juzgados - Carrera 12 # 11-31 </t>
  </si>
  <si>
    <t>PALACIO DE JUSTICIA
CALLE 7 No. 14 -32</t>
  </si>
  <si>
    <t>PALACIO DE JUSTICIA TORRE TRIBUNAL SUPERIOR DE BUGA</t>
  </si>
  <si>
    <t xml:space="preserve">ADOLESCENTES 
CRA 12 No. 6-08 PISO 2 </t>
  </si>
  <si>
    <t>JUZGADOS SEDE CRA 16 No. 6-40</t>
  </si>
  <si>
    <t>CARRERA 7 No. 7-01 Esquina Barrio Belalcázar</t>
  </si>
  <si>
    <t>DAGUA</t>
  </si>
  <si>
    <t>ANDALUCIA</t>
  </si>
  <si>
    <t>CALLE 8 No. 3-63</t>
  </si>
  <si>
    <t>TOTAL SERVICIOS UN 227-827</t>
  </si>
  <si>
    <t>TIPO E
SERVICIO 12 HORAS DIURNAS DE LUNES A VIERNES DE 6 AM A 6 PM SIN ARMA SIN FESTIVOS</t>
  </si>
  <si>
    <t>REGISTRO INGRESO CRA. 10</t>
  </si>
  <si>
    <t xml:space="preserve">RONDERO TORRE B PISOS 2 AL 18 </t>
  </si>
  <si>
    <t>CARRERA  16 No. 6 - 68 (Antes Edificio Condado Plaza)</t>
  </si>
  <si>
    <t>PORTERIA PRINCIPAL</t>
  </si>
  <si>
    <t>PORTERIA TRASERA</t>
  </si>
  <si>
    <t>TOTAL SERVICIOS UND 227</t>
  </si>
  <si>
    <t>TOTAL SERVICIOS UND 827</t>
  </si>
  <si>
    <t>Del 01 de julio al 31 de diciembre de 2026</t>
  </si>
  <si>
    <t>SUBUNIDAD 227</t>
  </si>
  <si>
    <t>SUBTOTAL - SUBUNIDAD 227</t>
  </si>
  <si>
    <t>SUBUNIDAD 827</t>
  </si>
  <si>
    <t>SUBTOTAL - SUBUNIDAD 827</t>
  </si>
  <si>
    <t>TOTAL SUBUNIDAD 227 Y 827</t>
  </si>
  <si>
    <t>TOTAL - SUBUNIDAD 227 Y 827</t>
  </si>
  <si>
    <t>PROYECCIÓN SERVICIO DE VIGILANCIA DEL 01 DE JULIO AL 31 DE DICIEMBRE DE 2026</t>
  </si>
  <si>
    <r>
      <t xml:space="preserve">LIQUIDACION LICITACIÓN PUBLICA CON PLAZO DE JULIO 01 A DICIEMBRE 31 DE 2026
</t>
    </r>
    <r>
      <rPr>
        <sz val="26"/>
        <color theme="1"/>
        <rFont val="Arial"/>
        <family val="2"/>
      </rPr>
      <t>Contratar la prestación del servicio de vigilancia y seguridad privada en las sedes donde funcionan las dependencias de la Rama Judicial en el Departamento del Valle del Cauca.</t>
    </r>
  </si>
  <si>
    <t>TOTAL DEL 01 AL 14 DE JULIO DE 2026 - SUBUNIDAD 227</t>
  </si>
  <si>
    <t xml:space="preserve">TARIFA
9,85 SMMLV (RESOLUCION 20251000059517CS del 08 de agosto de 2025 Supervigilancia) </t>
  </si>
  <si>
    <t xml:space="preserve">VALOR PRIMA SEGURO DE VIDA </t>
  </si>
  <si>
    <t>TARIFA BASE + PRIMA DE SEGURO DE VIDA</t>
  </si>
  <si>
    <t>PORCENTAJE 
DE GASTOS DE 
ADMINISTRACIÓN Y 
SUPERVISIÓN</t>
  </si>
  <si>
    <t>PROPORCIONALIDAD</t>
  </si>
  <si>
    <t>HORAS DE SERVICIO</t>
  </si>
  <si>
    <t>DIAS REQUERIDOS</t>
  </si>
  <si>
    <t>JORNADA</t>
  </si>
  <si>
    <t>COSTO UNITARIO</t>
  </si>
  <si>
    <t>VALOR TARIFA INCLUIDO IVA, GASTOS DE ADMINISTRACIÓN Y SUPERVISIÓN</t>
  </si>
  <si>
    <t xml:space="preserve">Subtotal UN (01) MES </t>
  </si>
  <si>
    <t>Subtotal 14 DÍAS CALENDARIO (Del 01 al 14 de julio de 2026)</t>
  </si>
  <si>
    <t>TOTAL DEL 01 AL 14 DE JULIO DE 2026</t>
  </si>
  <si>
    <t xml:space="preserve">Subtotal VEINTE (20) DÍAS </t>
  </si>
  <si>
    <t>Subtotal 10 DÍAS HÁBILES (Del 01 al 14 de julio de 2026) Lunes a Viernes sin festivos</t>
  </si>
  <si>
    <t>Servicio 12 horas diurnas sin arma (lunes a viernes sin festivos)</t>
  </si>
  <si>
    <t>Servicio 8 horas diurnas sin arma (lunes a viernes sin festivos)</t>
  </si>
  <si>
    <t>SUBTOTAL SERVICIO DE VIGILANCIA DEL 01 AL 14 DE JULIO DE 2026 - SUBUNIDAD 227</t>
  </si>
  <si>
    <t>Variable</t>
  </si>
  <si>
    <t>Propor. 
X Hra</t>
  </si>
  <si>
    <t>NOCTURNO 7PM 6AM</t>
  </si>
  <si>
    <t>DIURNO 6 AM A 7PM</t>
  </si>
  <si>
    <t>TOTAL DEL 01 AL 14 DE JULIO DE 2026 - SUBUNIDAD 827</t>
  </si>
  <si>
    <t>Subtotal 10 DÍAS HÁBILES (Del 01 AL 14 de julio de 2026) Lunes a Viernes sin festivos</t>
  </si>
  <si>
    <t>SUBTOTAL SERVICIO DE VIGILANCIA DEL 01 AL 14 DE JULIO DE 2026 - SUBUNIDAD 827</t>
  </si>
  <si>
    <t>TOTAL DEL 15 DE JULIO AL 31 DE DICIEMBRE DE 2026 - SUBUNIDAD 227</t>
  </si>
  <si>
    <t xml:space="preserve">TARIFA
10,21 SMMLV (RESOLUCION 20251000059517CS del 08 de agosto de 2025 Supervigilancia) </t>
  </si>
  <si>
    <t>Subtotal 16 DÍAS CALENDARIO (Del 15 al 31 de julio de 2026)</t>
  </si>
  <si>
    <t>TOTAL DEL 15 DE JULIO AL 31 DE DICIEMBRE DE 2026</t>
  </si>
  <si>
    <t>Subtotal 12 DÍAS HÁBILES (Del 15 al 31 de julio de 2026) Lunes a Viernes sin festivos</t>
  </si>
  <si>
    <t>SUBTOTAL SERVICIO DE VIGILANCIA DEL 15 DE JULIO AL 31 DE DICIEMBRE DE 2026 - SUBUNIDAD 227</t>
  </si>
  <si>
    <t>TOTAL DEL 15 DE JULIO AL 31 DE DICIEMBRE DE 2026 - SUBUNIDAD 827</t>
  </si>
  <si>
    <t>SUBTOTAL SERVICIO DE VIGILANCIA DEL 15 DE JULIO AL 31 DE DICIEMBRE DE 2026 - SUBUNIDAD 827</t>
  </si>
  <si>
    <t xml:space="preserve">RESUMEN </t>
  </si>
  <si>
    <t>VALOR TOTAL DEL 01 DE JULIO A 31 DE DICIEMBRE DE 2026</t>
  </si>
  <si>
    <t>SUBTOTAL SUBUNIDAD 227</t>
  </si>
  <si>
    <t>SUBTOTAL SUBUNIDAD 827</t>
  </si>
  <si>
    <t>TOTAL SUBUNIDAD 227 + SUBUNIDAD 827</t>
  </si>
  <si>
    <t>Subtotal 1 MES (Del 01 al 31 de agosto de 2026)</t>
  </si>
  <si>
    <t>Subtotal 1 MES (Del 01 al 30 de septiembre de 2026)</t>
  </si>
  <si>
    <t>Subtotal 1 MES (Del 01 al 31 de octubre de 2026)</t>
  </si>
  <si>
    <t>Subtotal 1 MES (Del 01 al 30 de noviembre de 2026)</t>
  </si>
  <si>
    <t>Subtotal 1 MES (Del 01 al 31 de diciembre de 2026)</t>
  </si>
  <si>
    <t>Subtotal 18 DÍAS HÁBILES Del 01 al 31 de agosto de 2026) Lunes a Viernes sin festivos</t>
  </si>
  <si>
    <t>Subtotal 22 DÍAS HÁBILES Del 01 al 30 de septiembre de 2026) Lunes a Viernes sin festivos</t>
  </si>
  <si>
    <t>Subtotal 21 DÍAS HÁBILES Del 01 al 31 de octubre de 2026) Lunes a Viernes sin festivos</t>
  </si>
  <si>
    <t>Subtotal 19 DÍAS HÁBILES Del 01 al 30 de noviembre de 2026) Lunes a Viernes sin festivos</t>
  </si>
  <si>
    <t>Subtotal 21 DÍAS HÁBILES Del 01 al 31 de diciembre de 2026) Lunes a Viernes sin festivos</t>
  </si>
  <si>
    <t>Subtotal 20 DÍAS HÁBILES Del 01 al 31 de diciembre de 2026) Lunes a Viernes sin festivos</t>
  </si>
  <si>
    <t>RONDERO Y MONITOREO NOCTURNO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</si>
</sst>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.00;\-&quot;$&quot;\ #,##0.00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7" formatCode="&quot;$&quot;\ #,##0;\-&quot;$&quot;\ #,##0"/>
    <numFmt numFmtId="168" formatCode="_-&quot;$&quot;* #,##0_-;\-&quot;$&quot;* #,##0_-;_-&quot;$&quot;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b/>
      <sz val="9"/>
      <color rgb="FFFF0000"/>
      <name val="Arial"/>
      <family val="2"/>
    </font>
    <font>
      <b/>
      <sz val="9"/>
      <color rgb="FF000000"/>
      <name val="Arial"/>
      <family val="2"/>
    </font>
    <font>
      <sz val="10"/>
      <color theme="1"/>
      <name val="Times New Roman"/>
      <family val="1"/>
    </font>
    <font>
      <b/>
      <sz val="26"/>
      <color theme="1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4"/>
      <color rgb="FF000000"/>
      <name val="Arial"/>
      <family val="2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name val="Arial"/>
      <family val="2"/>
    </font>
    <font>
      <b/>
      <sz val="14"/>
      <name val="Calibri"/>
      <family val="2"/>
      <scheme val="minor"/>
    </font>
    <font>
      <sz val="26"/>
      <color theme="1"/>
      <name val="Arial"/>
      <family val="2"/>
    </font>
    <font>
      <sz val="16"/>
      <color theme="1"/>
      <name val="Calibri"/>
      <family val="2"/>
      <scheme val="minor"/>
    </font>
    <font>
      <sz val="14"/>
      <color rgb="FFFF0000"/>
      <name val="Arial"/>
      <family val="2"/>
    </font>
    <font>
      <b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6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18" fillId="0" borderId="8" xfId="0" applyFont="1" applyBorder="1" applyAlignment="1">
      <alignment vertical="center" wrapText="1"/>
    </xf>
    <xf numFmtId="0" fontId="19" fillId="0" borderId="16" xfId="0" applyFont="1" applyBorder="1" applyAlignment="1">
      <alignment horizontal="center" vertical="center" wrapText="1"/>
    </xf>
    <xf numFmtId="0" fontId="18" fillId="0" borderId="7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20" fillId="0" borderId="21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4" fillId="0" borderId="12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18" fillId="0" borderId="23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22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14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19" fillId="0" borderId="2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Protection="1">
      <protection locked="0"/>
    </xf>
    <xf numFmtId="0" fontId="4" fillId="3" borderId="1" xfId="0" applyFont="1" applyFill="1" applyBorder="1" applyAlignment="1">
      <alignment horizontal="center" vertical="center" wrapText="1"/>
    </xf>
    <xf numFmtId="164" fontId="11" fillId="0" borderId="1" xfId="4" applyNumberFormat="1" applyFont="1" applyFill="1" applyBorder="1" applyAlignment="1" applyProtection="1">
      <alignment horizontal="right" vertical="center" wrapText="1"/>
    </xf>
    <xf numFmtId="165" fontId="11" fillId="0" borderId="1" xfId="5" applyFont="1" applyFill="1" applyBorder="1" applyAlignment="1" applyProtection="1">
      <alignment horizontal="right" vertical="center" wrapText="1"/>
      <protection locked="0"/>
    </xf>
    <xf numFmtId="164" fontId="11" fillId="0" borderId="1" xfId="4" applyNumberFormat="1" applyFont="1" applyFill="1" applyBorder="1" applyAlignment="1" applyProtection="1">
      <alignment horizontal="center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5" fontId="11" fillId="0" borderId="1" xfId="5" applyFont="1" applyFill="1" applyBorder="1" applyAlignment="1" applyProtection="1">
      <alignment vertical="center"/>
    </xf>
    <xf numFmtId="165" fontId="11" fillId="0" borderId="1" xfId="5" applyFont="1" applyBorder="1" applyAlignment="1" applyProtection="1">
      <alignment vertical="center"/>
    </xf>
    <xf numFmtId="10" fontId="1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6" fontId="2" fillId="0" borderId="0" xfId="5" applyNumberFormat="1" applyFont="1" applyAlignment="1" applyProtection="1">
      <alignment vertical="center"/>
    </xf>
    <xf numFmtId="166" fontId="13" fillId="0" borderId="0" xfId="5" applyNumberFormat="1" applyFont="1" applyAlignment="1" applyProtection="1">
      <alignment vertical="center"/>
    </xf>
    <xf numFmtId="165" fontId="13" fillId="0" borderId="0" xfId="5" applyFont="1" applyAlignment="1" applyProtection="1">
      <alignment vertical="center"/>
    </xf>
    <xf numFmtId="165" fontId="12" fillId="3" borderId="1" xfId="5" applyFont="1" applyFill="1" applyBorder="1" applyAlignment="1" applyProtection="1">
      <alignment horizontal="center" vertical="center" wrapText="1"/>
    </xf>
    <xf numFmtId="165" fontId="12" fillId="3" borderId="4" xfId="5" applyFont="1" applyFill="1" applyBorder="1" applyAlignment="1" applyProtection="1">
      <alignment vertical="center"/>
    </xf>
    <xf numFmtId="165" fontId="12" fillId="4" borderId="4" xfId="5" applyFont="1" applyFill="1" applyBorder="1" applyAlignment="1" applyProtection="1">
      <alignment vertical="center"/>
    </xf>
    <xf numFmtId="0" fontId="2" fillId="0" borderId="0" xfId="0" applyFont="1" applyAlignment="1" applyProtection="1">
      <alignment vertical="center"/>
      <protection locked="0"/>
    </xf>
    <xf numFmtId="43" fontId="2" fillId="0" borderId="0" xfId="4" applyFont="1" applyAlignment="1" applyProtection="1">
      <alignment vertical="center"/>
      <protection locked="0"/>
    </xf>
    <xf numFmtId="43" fontId="2" fillId="0" borderId="0" xfId="4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7" fontId="2" fillId="0" borderId="0" xfId="0" applyNumberFormat="1" applyFont="1" applyAlignment="1" applyProtection="1">
      <alignment horizontal="right"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165" fontId="2" fillId="0" borderId="0" xfId="5" applyFont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/>
    </xf>
    <xf numFmtId="10" fontId="3" fillId="0" borderId="1" xfId="0" applyNumberFormat="1" applyFont="1" applyBorder="1" applyAlignment="1">
      <alignment horizontal="center" vertical="center"/>
    </xf>
    <xf numFmtId="10" fontId="3" fillId="0" borderId="0" xfId="0" applyNumberFormat="1" applyFont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vertical="center"/>
      <protection locked="0"/>
    </xf>
    <xf numFmtId="10" fontId="3" fillId="5" borderId="1" xfId="0" applyNumberFormat="1" applyFont="1" applyFill="1" applyBorder="1" applyAlignment="1">
      <alignment horizontal="center" vertical="center"/>
    </xf>
    <xf numFmtId="10" fontId="3" fillId="5" borderId="0" xfId="0" applyNumberFormat="1" applyFont="1" applyFill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9" fontId="2" fillId="0" borderId="0" xfId="0" applyNumberFormat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168" fontId="4" fillId="0" borderId="0" xfId="2" applyNumberFormat="1" applyFont="1" applyBorder="1" applyAlignment="1" applyProtection="1">
      <alignment vertical="center"/>
      <protection locked="0"/>
    </xf>
    <xf numFmtId="168" fontId="2" fillId="0" borderId="0" xfId="2" applyNumberFormat="1" applyFont="1" applyBorder="1" applyAlignment="1" applyProtection="1">
      <alignment vertical="center"/>
      <protection locked="0"/>
    </xf>
    <xf numFmtId="3" fontId="4" fillId="0" borderId="0" xfId="0" applyNumberFormat="1" applyFont="1" applyAlignment="1" applyProtection="1">
      <alignment horizontal="center" vertical="center" wrapText="1"/>
      <protection locked="0"/>
    </xf>
    <xf numFmtId="0" fontId="25" fillId="0" borderId="0" xfId="0" applyFont="1" applyAlignment="1" applyProtection="1">
      <alignment vertical="center"/>
      <protection locked="0"/>
    </xf>
    <xf numFmtId="165" fontId="25" fillId="0" borderId="0" xfId="0" applyNumberFormat="1" applyFont="1" applyAlignment="1" applyProtection="1">
      <alignment vertical="center"/>
      <protection locked="0"/>
    </xf>
    <xf numFmtId="165" fontId="0" fillId="0" borderId="0" xfId="0" applyNumberFormat="1" applyProtection="1">
      <protection locked="0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165" fontId="12" fillId="6" borderId="1" xfId="5" applyFont="1" applyFill="1" applyBorder="1" applyAlignment="1" applyProtection="1">
      <alignment horizontal="center" vertical="center" wrapText="1"/>
    </xf>
    <xf numFmtId="165" fontId="12" fillId="6" borderId="1" xfId="5" applyFont="1" applyFill="1" applyBorder="1" applyAlignment="1" applyProtection="1">
      <alignment vertical="center"/>
    </xf>
    <xf numFmtId="165" fontId="12" fillId="6" borderId="4" xfId="5" applyFont="1" applyFill="1" applyBorder="1" applyAlignment="1" applyProtection="1">
      <alignment vertical="center"/>
    </xf>
    <xf numFmtId="165" fontId="12" fillId="4" borderId="1" xfId="5" applyFont="1" applyFill="1" applyBorder="1" applyAlignment="1" applyProtection="1">
      <alignment vertical="center"/>
    </xf>
    <xf numFmtId="165" fontId="0" fillId="0" borderId="0" xfId="0" applyNumberFormat="1" applyAlignment="1" applyProtection="1">
      <alignment vertical="center"/>
      <protection locked="0"/>
    </xf>
    <xf numFmtId="166" fontId="0" fillId="0" borderId="0" xfId="0" applyNumberFormat="1" applyAlignment="1" applyProtection="1">
      <alignment vertical="center"/>
      <protection locked="0"/>
    </xf>
    <xf numFmtId="0" fontId="4" fillId="0" borderId="0" xfId="0" applyFont="1" applyAlignment="1">
      <alignment horizontal="center" vertical="center" wrapText="1"/>
    </xf>
    <xf numFmtId="165" fontId="11" fillId="0" borderId="0" xfId="5" applyFont="1" applyFill="1" applyBorder="1" applyAlignment="1" applyProtection="1">
      <alignment vertical="center"/>
    </xf>
    <xf numFmtId="165" fontId="13" fillId="0" borderId="0" xfId="5" applyFont="1" applyFill="1" applyBorder="1" applyAlignment="1" applyProtection="1">
      <alignment vertical="center"/>
    </xf>
    <xf numFmtId="166" fontId="13" fillId="0" borderId="0" xfId="5" applyNumberFormat="1" applyFont="1" applyFill="1" applyBorder="1" applyAlignment="1" applyProtection="1">
      <alignment vertical="center"/>
    </xf>
    <xf numFmtId="165" fontId="12" fillId="0" borderId="0" xfId="5" applyFont="1" applyFill="1" applyBorder="1" applyAlignment="1" applyProtection="1">
      <alignment vertical="center"/>
    </xf>
    <xf numFmtId="166" fontId="12" fillId="0" borderId="0" xfId="5" applyNumberFormat="1" applyFont="1" applyFill="1" applyBorder="1" applyAlignment="1" applyProtection="1">
      <alignment vertical="center"/>
    </xf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0" fontId="3" fillId="5" borderId="0" xfId="0" applyNumberFormat="1" applyFont="1" applyFill="1" applyAlignment="1">
      <alignment horizontal="center" vertical="center"/>
    </xf>
    <xf numFmtId="165" fontId="11" fillId="0" borderId="4" xfId="5" applyFont="1" applyFill="1" applyBorder="1" applyAlignment="1" applyProtection="1">
      <alignment vertical="center"/>
    </xf>
    <xf numFmtId="165" fontId="11" fillId="0" borderId="31" xfId="5" applyFont="1" applyFill="1" applyBorder="1" applyAlignment="1" applyProtection="1">
      <alignment vertical="center"/>
    </xf>
    <xf numFmtId="165" fontId="26" fillId="0" borderId="0" xfId="5" applyFont="1" applyFill="1" applyBorder="1" applyAlignment="1" applyProtection="1">
      <alignment vertical="center"/>
    </xf>
    <xf numFmtId="0" fontId="18" fillId="0" borderId="11" xfId="0" applyFont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6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5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8" fillId="0" borderId="14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18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8" fillId="0" borderId="25" xfId="0" applyFont="1" applyBorder="1" applyAlignment="1">
      <alignment vertical="center" wrapText="1"/>
    </xf>
    <xf numFmtId="0" fontId="15" fillId="0" borderId="28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22" fillId="0" borderId="0" xfId="0" applyFont="1" applyAlignment="1">
      <alignment horizontal="justify" vertical="center"/>
    </xf>
    <xf numFmtId="0" fontId="23" fillId="0" borderId="0" xfId="0" applyFont="1"/>
    <xf numFmtId="0" fontId="12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3" fontId="4" fillId="3" borderId="6" xfId="0" applyNumberFormat="1" applyFont="1" applyFill="1" applyBorder="1" applyAlignment="1" applyProtection="1">
      <alignment horizontal="left" vertical="center" wrapText="1"/>
      <protection locked="0"/>
    </xf>
    <xf numFmtId="3" fontId="4" fillId="3" borderId="0" xfId="0" applyNumberFormat="1" applyFont="1" applyFill="1" applyAlignment="1" applyProtection="1">
      <alignment horizontal="left" vertical="center" wrapText="1"/>
      <protection locked="0"/>
    </xf>
    <xf numFmtId="0" fontId="27" fillId="0" borderId="1" xfId="0" applyFont="1" applyBorder="1" applyAlignment="1">
      <alignment horizontal="left" vertical="center" wrapText="1"/>
    </xf>
    <xf numFmtId="165" fontId="27" fillId="4" borderId="1" xfId="0" applyNumberFormat="1" applyFont="1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/>
    </xf>
    <xf numFmtId="165" fontId="27" fillId="0" borderId="0" xfId="0" applyNumberFormat="1" applyFont="1" applyAlignment="1">
      <alignment horizontal="right" vertical="center" wrapText="1"/>
    </xf>
    <xf numFmtId="165" fontId="0" fillId="0" borderId="0" xfId="0" applyNumberFormat="1" applyAlignment="1">
      <alignment horizontal="right" vertical="center"/>
    </xf>
    <xf numFmtId="165" fontId="27" fillId="0" borderId="0" xfId="5" applyFont="1" applyFill="1" applyBorder="1" applyAlignment="1">
      <alignment horizontal="right" vertical="center" wrapText="1"/>
    </xf>
    <xf numFmtId="165" fontId="0" fillId="0" borderId="0" xfId="5" applyFont="1" applyFill="1" applyBorder="1" applyAlignment="1">
      <alignment horizontal="right" vertical="center"/>
    </xf>
    <xf numFmtId="0" fontId="12" fillId="6" borderId="4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30" xfId="0" applyFont="1" applyFill="1" applyBorder="1" applyAlignment="1">
      <alignment horizontal="center" vertical="center" wrapText="1"/>
    </xf>
    <xf numFmtId="3" fontId="4" fillId="6" borderId="6" xfId="0" applyNumberFormat="1" applyFont="1" applyFill="1" applyBorder="1" applyAlignment="1">
      <alignment horizontal="left" vertical="center" wrapText="1"/>
    </xf>
    <xf numFmtId="3" fontId="4" fillId="6" borderId="0" xfId="0" applyNumberFormat="1" applyFont="1" applyFill="1" applyAlignment="1">
      <alignment horizontal="left" vertical="center" wrapText="1"/>
    </xf>
    <xf numFmtId="0" fontId="0" fillId="6" borderId="0" xfId="0" applyFill="1" applyAlignment="1">
      <alignment vertical="center"/>
    </xf>
    <xf numFmtId="0" fontId="2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2" borderId="0" xfId="0" applyFont="1" applyFill="1" applyAlignment="1" applyProtection="1">
      <alignment horizontal="center" vertical="center" wrapText="1"/>
      <protection locked="0"/>
    </xf>
    <xf numFmtId="3" fontId="4" fillId="3" borderId="6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3" fillId="3" borderId="30" xfId="0" applyFont="1" applyFill="1" applyBorder="1" applyAlignment="1">
      <alignment horizontal="center" vertical="center" wrapText="1"/>
    </xf>
  </cellXfs>
  <cellStyles count="6">
    <cellStyle name="Millares" xfId="4" builtinId="3"/>
    <cellStyle name="Millares 2" xfId="3" xr:uid="{464DEFB0-4FD9-4C30-B58B-46A26F1D0872}"/>
    <cellStyle name="Moneda 2" xfId="2" xr:uid="{9F86A770-4D41-4701-B570-98E81936B5B5}"/>
    <cellStyle name="Moneda 3" xfId="5" xr:uid="{84D6B01C-EADB-4336-A92A-4809B9C0B71C}"/>
    <cellStyle name="Normal" xfId="0" builtinId="0"/>
    <cellStyle name="Normal 3" xfId="1" xr:uid="{4EC01752-CF2C-4C12-9F15-A9830C680B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A43D2-C209-42E4-AC4F-6A754AF5B3BC}">
  <sheetPr>
    <tabColor rgb="FF00B050"/>
    <pageSetUpPr fitToPage="1"/>
  </sheetPr>
  <dimension ref="B1:K70"/>
  <sheetViews>
    <sheetView tabSelected="1" topLeftCell="B41" zoomScale="69" zoomScaleNormal="69" workbookViewId="0">
      <selection activeCell="J61" sqref="J61"/>
    </sheetView>
  </sheetViews>
  <sheetFormatPr baseColWidth="10" defaultRowHeight="15" x14ac:dyDescent="0.25"/>
  <cols>
    <col min="2" max="2" width="20.42578125" customWidth="1"/>
    <col min="3" max="3" width="24.28515625" customWidth="1"/>
    <col min="4" max="4" width="23.7109375" customWidth="1"/>
    <col min="5" max="5" width="16" customWidth="1"/>
    <col min="6" max="6" width="16.7109375" customWidth="1"/>
    <col min="7" max="7" width="19.85546875" customWidth="1"/>
    <col min="8" max="8" width="19.5703125" customWidth="1"/>
    <col min="9" max="9" width="19" customWidth="1"/>
    <col min="10" max="10" width="20" customWidth="1"/>
    <col min="11" max="11" width="15.140625" customWidth="1"/>
  </cols>
  <sheetData>
    <row r="1" spans="2:11" ht="18.75" customHeight="1" x14ac:dyDescent="0.3">
      <c r="B1" s="138" t="s">
        <v>93</v>
      </c>
      <c r="C1" s="139"/>
      <c r="D1" s="139"/>
      <c r="E1" s="139"/>
      <c r="F1" s="139"/>
      <c r="G1" s="139"/>
      <c r="H1" s="139"/>
      <c r="I1" s="139"/>
      <c r="J1" s="139"/>
      <c r="K1" s="139"/>
    </row>
    <row r="2" spans="2:11" x14ac:dyDescent="0.25">
      <c r="B2" s="11"/>
    </row>
    <row r="3" spans="2:11" ht="18" x14ac:dyDescent="0.25">
      <c r="B3" s="12" t="s">
        <v>56</v>
      </c>
    </row>
    <row r="4" spans="2:11" ht="15.75" thickBot="1" x14ac:dyDescent="0.3">
      <c r="B4" s="13"/>
    </row>
    <row r="5" spans="2:11" ht="16.5" thickBot="1" x14ac:dyDescent="0.3">
      <c r="B5" s="134" t="s">
        <v>15</v>
      </c>
      <c r="C5" s="134" t="s">
        <v>16</v>
      </c>
      <c r="D5" s="134" t="s">
        <v>17</v>
      </c>
      <c r="E5" s="136" t="s">
        <v>13</v>
      </c>
      <c r="F5" s="137"/>
      <c r="G5" s="137"/>
      <c r="H5" s="137"/>
      <c r="I5" s="137"/>
      <c r="J5" s="137"/>
      <c r="K5" s="125" t="s">
        <v>14</v>
      </c>
    </row>
    <row r="6" spans="2:11" ht="171" customHeight="1" thickBot="1" x14ac:dyDescent="0.3">
      <c r="B6" s="135"/>
      <c r="C6" s="135"/>
      <c r="D6" s="135"/>
      <c r="E6" s="37" t="s">
        <v>61</v>
      </c>
      <c r="F6" s="37" t="s">
        <v>62</v>
      </c>
      <c r="G6" s="37" t="s">
        <v>63</v>
      </c>
      <c r="H6" s="38" t="s">
        <v>64</v>
      </c>
      <c r="I6" s="37" t="s">
        <v>65</v>
      </c>
      <c r="J6" s="37" t="s">
        <v>66</v>
      </c>
      <c r="K6" s="126"/>
    </row>
    <row r="7" spans="2:11" ht="21.75" customHeight="1" thickBot="1" x14ac:dyDescent="0.3">
      <c r="B7" s="127" t="s">
        <v>18</v>
      </c>
      <c r="C7" s="130" t="s">
        <v>19</v>
      </c>
      <c r="D7" s="14" t="s">
        <v>20</v>
      </c>
      <c r="E7" s="39">
        <v>1</v>
      </c>
      <c r="F7" s="39"/>
      <c r="G7" s="39"/>
      <c r="H7" s="38"/>
      <c r="I7" s="39"/>
      <c r="J7" s="39"/>
      <c r="K7" s="15">
        <f>SUM(E7:J7)</f>
        <v>1</v>
      </c>
    </row>
    <row r="8" spans="2:11" ht="23.25" customHeight="1" thickBot="1" x14ac:dyDescent="0.3">
      <c r="B8" s="128"/>
      <c r="C8" s="131"/>
      <c r="D8" s="14" t="s">
        <v>21</v>
      </c>
      <c r="E8" s="39"/>
      <c r="F8" s="39"/>
      <c r="G8" s="39"/>
      <c r="H8" s="39"/>
      <c r="I8" s="39">
        <v>1</v>
      </c>
      <c r="J8" s="39"/>
      <c r="K8" s="15">
        <f>SUM(E8:J8)</f>
        <v>1</v>
      </c>
    </row>
    <row r="9" spans="2:11" ht="36.75" customHeight="1" thickBot="1" x14ac:dyDescent="0.3">
      <c r="B9" s="128"/>
      <c r="C9" s="132"/>
      <c r="D9" s="14" t="s">
        <v>22</v>
      </c>
      <c r="E9" s="39"/>
      <c r="F9" s="40"/>
      <c r="G9" s="41"/>
      <c r="H9" s="39"/>
      <c r="I9" s="39"/>
      <c r="J9" s="42">
        <v>1</v>
      </c>
      <c r="K9" s="15">
        <f>SUM(E9:J9)</f>
        <v>1</v>
      </c>
    </row>
    <row r="10" spans="2:11" ht="23.25" customHeight="1" thickBot="1" x14ac:dyDescent="0.3">
      <c r="B10" s="129"/>
      <c r="C10" s="16" t="s">
        <v>23</v>
      </c>
      <c r="D10" s="17" t="s">
        <v>24</v>
      </c>
      <c r="E10" s="39"/>
      <c r="F10" s="39"/>
      <c r="G10" s="39"/>
      <c r="H10" s="39"/>
      <c r="I10" s="39"/>
      <c r="J10" s="39">
        <v>1</v>
      </c>
      <c r="K10" s="15">
        <f>SUM(E10:J10)</f>
        <v>1</v>
      </c>
    </row>
    <row r="11" spans="2:11" ht="32.25" customHeight="1" thickBot="1" x14ac:dyDescent="0.3">
      <c r="B11" s="18"/>
      <c r="C11" s="19"/>
      <c r="D11" s="20" t="s">
        <v>91</v>
      </c>
      <c r="E11" s="21">
        <f t="shared" ref="E11:K11" si="0">SUM(E7:E10)</f>
        <v>1</v>
      </c>
      <c r="F11" s="21">
        <f t="shared" si="0"/>
        <v>0</v>
      </c>
      <c r="G11" s="21">
        <f t="shared" si="0"/>
        <v>0</v>
      </c>
      <c r="H11" s="21">
        <f t="shared" si="0"/>
        <v>0</v>
      </c>
      <c r="I11" s="21">
        <f t="shared" si="0"/>
        <v>1</v>
      </c>
      <c r="J11" s="21">
        <f t="shared" si="0"/>
        <v>2</v>
      </c>
      <c r="K11" s="21">
        <f t="shared" si="0"/>
        <v>4</v>
      </c>
    </row>
    <row r="12" spans="2:11" x14ac:dyDescent="0.25">
      <c r="B12" s="13"/>
    </row>
    <row r="13" spans="2:11" ht="18" x14ac:dyDescent="0.25">
      <c r="B13" s="12" t="s">
        <v>60</v>
      </c>
    </row>
    <row r="14" spans="2:11" ht="15.75" thickBot="1" x14ac:dyDescent="0.3">
      <c r="B14" s="11"/>
    </row>
    <row r="15" spans="2:11" ht="16.5" thickBot="1" x14ac:dyDescent="0.3">
      <c r="B15" s="134" t="s">
        <v>15</v>
      </c>
      <c r="C15" s="134" t="s">
        <v>16</v>
      </c>
      <c r="D15" s="134" t="s">
        <v>17</v>
      </c>
      <c r="E15" s="136" t="s">
        <v>13</v>
      </c>
      <c r="F15" s="137"/>
      <c r="G15" s="137"/>
      <c r="H15" s="137"/>
      <c r="I15" s="137"/>
      <c r="J15" s="137"/>
      <c r="K15" s="125" t="s">
        <v>14</v>
      </c>
    </row>
    <row r="16" spans="2:11" ht="155.25" customHeight="1" thickBot="1" x14ac:dyDescent="0.3">
      <c r="B16" s="135"/>
      <c r="C16" s="135"/>
      <c r="D16" s="135"/>
      <c r="E16" s="37" t="s">
        <v>61</v>
      </c>
      <c r="F16" s="37" t="s">
        <v>62</v>
      </c>
      <c r="G16" s="37" t="s">
        <v>63</v>
      </c>
      <c r="H16" s="38" t="s">
        <v>64</v>
      </c>
      <c r="I16" s="37" t="s">
        <v>85</v>
      </c>
      <c r="J16" s="37" t="s">
        <v>66</v>
      </c>
      <c r="K16" s="126"/>
    </row>
    <row r="17" spans="2:11" ht="52.15" customHeight="1" thickBot="1" x14ac:dyDescent="0.3">
      <c r="B17" s="127" t="s">
        <v>18</v>
      </c>
      <c r="C17" s="130" t="s">
        <v>19</v>
      </c>
      <c r="D17" s="14" t="s">
        <v>25</v>
      </c>
      <c r="E17" s="39"/>
      <c r="F17" s="39"/>
      <c r="G17" s="39">
        <v>1</v>
      </c>
      <c r="H17" s="39"/>
      <c r="I17" s="39"/>
      <c r="J17" s="42"/>
      <c r="K17" s="22">
        <f t="shared" ref="K17:K67" si="1">SUM(E17:J17)</f>
        <v>1</v>
      </c>
    </row>
    <row r="18" spans="2:11" ht="56.25" customHeight="1" thickBot="1" x14ac:dyDescent="0.3">
      <c r="B18" s="128"/>
      <c r="C18" s="131"/>
      <c r="D18" s="14" t="s">
        <v>26</v>
      </c>
      <c r="E18" s="39"/>
      <c r="F18" s="40"/>
      <c r="G18" s="41"/>
      <c r="H18" s="39"/>
      <c r="I18" s="39">
        <v>1</v>
      </c>
      <c r="J18" s="41"/>
      <c r="K18" s="22">
        <f t="shared" si="1"/>
        <v>1</v>
      </c>
    </row>
    <row r="19" spans="2:11" ht="48" customHeight="1" thickBot="1" x14ac:dyDescent="0.3">
      <c r="B19" s="128"/>
      <c r="C19" s="131"/>
      <c r="D19" s="14" t="s">
        <v>27</v>
      </c>
      <c r="E19" s="39"/>
      <c r="F19" s="40"/>
      <c r="G19" s="41"/>
      <c r="H19" s="39"/>
      <c r="I19" s="39">
        <v>1</v>
      </c>
      <c r="J19" s="41"/>
      <c r="K19" s="22">
        <f t="shared" si="1"/>
        <v>1</v>
      </c>
    </row>
    <row r="20" spans="2:11" ht="23.25" customHeight="1" thickBot="1" x14ac:dyDescent="0.3">
      <c r="B20" s="128"/>
      <c r="C20" s="131"/>
      <c r="D20" s="14" t="s">
        <v>28</v>
      </c>
      <c r="E20" s="39"/>
      <c r="F20" s="40">
        <v>1</v>
      </c>
      <c r="G20" s="41">
        <v>0</v>
      </c>
      <c r="H20" s="39"/>
      <c r="I20" s="39"/>
      <c r="J20" s="41">
        <v>1</v>
      </c>
      <c r="K20" s="22">
        <f t="shared" si="1"/>
        <v>2</v>
      </c>
    </row>
    <row r="21" spans="2:11" ht="51" customHeight="1" thickBot="1" x14ac:dyDescent="0.3">
      <c r="B21" s="128"/>
      <c r="C21" s="131"/>
      <c r="D21" s="14" t="s">
        <v>29</v>
      </c>
      <c r="E21" s="39"/>
      <c r="F21" s="40">
        <v>1</v>
      </c>
      <c r="G21" s="41"/>
      <c r="H21" s="39"/>
      <c r="I21" s="39"/>
      <c r="J21" s="41"/>
      <c r="K21" s="22">
        <f t="shared" si="1"/>
        <v>1</v>
      </c>
    </row>
    <row r="22" spans="2:11" ht="34.5" customHeight="1" thickBot="1" x14ac:dyDescent="0.3">
      <c r="B22" s="128"/>
      <c r="C22" s="131"/>
      <c r="D22" s="14" t="s">
        <v>86</v>
      </c>
      <c r="E22" s="39"/>
      <c r="F22" s="40"/>
      <c r="G22" s="41"/>
      <c r="H22" s="39"/>
      <c r="I22" s="39">
        <v>0</v>
      </c>
      <c r="J22" s="41">
        <v>1</v>
      </c>
      <c r="K22" s="22">
        <f t="shared" si="1"/>
        <v>1</v>
      </c>
    </row>
    <row r="23" spans="2:11" ht="36" customHeight="1" thickBot="1" x14ac:dyDescent="0.3">
      <c r="B23" s="128"/>
      <c r="C23" s="131"/>
      <c r="D23" s="14" t="s">
        <v>67</v>
      </c>
      <c r="E23" s="39"/>
      <c r="F23" s="40"/>
      <c r="G23" s="41"/>
      <c r="H23" s="39"/>
      <c r="I23" s="43">
        <v>1</v>
      </c>
      <c r="J23" s="41"/>
      <c r="K23" s="22">
        <f t="shared" si="1"/>
        <v>1</v>
      </c>
    </row>
    <row r="24" spans="2:11" ht="37.5" customHeight="1" thickBot="1" x14ac:dyDescent="0.3">
      <c r="B24" s="128"/>
      <c r="C24" s="131"/>
      <c r="D24" s="14" t="s">
        <v>87</v>
      </c>
      <c r="E24" s="39"/>
      <c r="F24" s="40"/>
      <c r="G24" s="41"/>
      <c r="H24" s="39"/>
      <c r="I24" s="39">
        <v>1</v>
      </c>
      <c r="J24" s="41"/>
      <c r="K24" s="22">
        <f t="shared" si="1"/>
        <v>1</v>
      </c>
    </row>
    <row r="25" spans="2:11" ht="24.75" customHeight="1" thickBot="1" x14ac:dyDescent="0.3">
      <c r="B25" s="128"/>
      <c r="C25" s="131"/>
      <c r="D25" s="23" t="s">
        <v>68</v>
      </c>
      <c r="E25" s="39"/>
      <c r="F25" s="39"/>
      <c r="G25" s="39"/>
      <c r="H25" s="39"/>
      <c r="I25" s="39">
        <v>0</v>
      </c>
      <c r="J25" s="39">
        <v>1</v>
      </c>
      <c r="K25" s="22">
        <f t="shared" si="1"/>
        <v>1</v>
      </c>
    </row>
    <row r="26" spans="2:11" ht="33.75" customHeight="1" thickBot="1" x14ac:dyDescent="0.3">
      <c r="B26" s="128"/>
      <c r="C26" s="131"/>
      <c r="D26" s="14" t="s">
        <v>69</v>
      </c>
      <c r="E26" s="39"/>
      <c r="F26" s="39"/>
      <c r="G26" s="39"/>
      <c r="H26" s="39"/>
      <c r="I26" s="39">
        <v>1</v>
      </c>
      <c r="J26" s="39"/>
      <c r="K26" s="22">
        <f t="shared" si="1"/>
        <v>1</v>
      </c>
    </row>
    <row r="27" spans="2:11" ht="25.5" customHeight="1" thickBot="1" x14ac:dyDescent="0.3">
      <c r="B27" s="128"/>
      <c r="C27" s="131"/>
      <c r="D27" s="14" t="s">
        <v>70</v>
      </c>
      <c r="E27" s="39"/>
      <c r="F27" s="39"/>
      <c r="G27" s="39"/>
      <c r="H27" s="39">
        <v>2</v>
      </c>
      <c r="I27" s="39"/>
      <c r="J27" s="39"/>
      <c r="K27" s="22">
        <f t="shared" si="1"/>
        <v>2</v>
      </c>
    </row>
    <row r="28" spans="2:11" ht="18.75" thickBot="1" x14ac:dyDescent="0.3">
      <c r="B28" s="128"/>
      <c r="C28" s="130" t="s">
        <v>23</v>
      </c>
      <c r="D28" s="14" t="s">
        <v>30</v>
      </c>
      <c r="E28" s="39">
        <v>1</v>
      </c>
      <c r="F28" s="40"/>
      <c r="G28" s="41"/>
      <c r="H28" s="39"/>
      <c r="I28" s="39"/>
      <c r="J28" s="41"/>
      <c r="K28" s="22">
        <f t="shared" si="1"/>
        <v>1</v>
      </c>
    </row>
    <row r="29" spans="2:11" ht="18.75" thickBot="1" x14ac:dyDescent="0.3">
      <c r="B29" s="128"/>
      <c r="C29" s="131"/>
      <c r="D29" s="14" t="s">
        <v>71</v>
      </c>
      <c r="E29" s="14"/>
      <c r="F29" s="39">
        <f>1-1</f>
        <v>0</v>
      </c>
      <c r="G29" s="14"/>
      <c r="H29" s="14"/>
      <c r="I29" s="14"/>
      <c r="J29" s="14"/>
      <c r="K29" s="22">
        <f t="shared" si="1"/>
        <v>0</v>
      </c>
    </row>
    <row r="30" spans="2:11" ht="18.75" thickBot="1" x14ac:dyDescent="0.3">
      <c r="B30" s="128"/>
      <c r="C30" s="132"/>
      <c r="D30" s="14" t="s">
        <v>31</v>
      </c>
      <c r="E30" s="14"/>
      <c r="F30" s="14"/>
      <c r="G30" s="14"/>
      <c r="H30" s="14"/>
      <c r="I30" s="39">
        <v>1</v>
      </c>
      <c r="J30" s="14"/>
      <c r="K30" s="22">
        <f t="shared" si="1"/>
        <v>1</v>
      </c>
    </row>
    <row r="31" spans="2:11" ht="18.75" thickBot="1" x14ac:dyDescent="0.3">
      <c r="B31" s="128"/>
      <c r="C31" s="133" t="s">
        <v>32</v>
      </c>
      <c r="D31" s="14" t="s">
        <v>30</v>
      </c>
      <c r="E31" s="15"/>
      <c r="F31" s="15">
        <v>1</v>
      </c>
      <c r="G31" s="15"/>
      <c r="H31" s="15"/>
      <c r="I31" s="15"/>
      <c r="J31" s="42"/>
      <c r="K31" s="22">
        <f t="shared" si="1"/>
        <v>1</v>
      </c>
    </row>
    <row r="32" spans="2:11" ht="18.75" thickBot="1" x14ac:dyDescent="0.3">
      <c r="B32" s="128"/>
      <c r="C32" s="132"/>
      <c r="D32" s="14" t="s">
        <v>31</v>
      </c>
      <c r="E32" s="15"/>
      <c r="F32" s="15"/>
      <c r="G32" s="15"/>
      <c r="H32" s="15"/>
      <c r="I32" s="15">
        <v>0</v>
      </c>
      <c r="J32" s="15">
        <v>1</v>
      </c>
      <c r="K32" s="22">
        <f t="shared" si="1"/>
        <v>1</v>
      </c>
    </row>
    <row r="33" spans="2:11" ht="18.75" thickBot="1" x14ac:dyDescent="0.3">
      <c r="B33" s="128"/>
      <c r="C33" s="16" t="s">
        <v>33</v>
      </c>
      <c r="D33" s="17" t="s">
        <v>31</v>
      </c>
      <c r="E33" s="22"/>
      <c r="F33" s="22"/>
      <c r="G33" s="22"/>
      <c r="H33" s="22"/>
      <c r="I33" s="22">
        <v>0</v>
      </c>
      <c r="J33" s="22">
        <v>1</v>
      </c>
      <c r="K33" s="22">
        <f t="shared" si="1"/>
        <v>1</v>
      </c>
    </row>
    <row r="34" spans="2:11" ht="18.75" thickBot="1" x14ac:dyDescent="0.3">
      <c r="B34" s="128"/>
      <c r="C34" s="16" t="s">
        <v>34</v>
      </c>
      <c r="D34" s="17" t="s">
        <v>30</v>
      </c>
      <c r="E34" s="22"/>
      <c r="F34" s="22">
        <v>0</v>
      </c>
      <c r="G34" s="22">
        <v>1</v>
      </c>
      <c r="H34" s="22"/>
      <c r="I34" s="22"/>
      <c r="J34" s="42"/>
      <c r="K34" s="22">
        <f t="shared" si="1"/>
        <v>1</v>
      </c>
    </row>
    <row r="35" spans="2:11" ht="18.75" thickBot="1" x14ac:dyDescent="0.3">
      <c r="B35" s="128"/>
      <c r="C35" s="16" t="s">
        <v>35</v>
      </c>
      <c r="D35" s="17" t="s">
        <v>30</v>
      </c>
      <c r="E35" s="39">
        <v>1</v>
      </c>
      <c r="F35" s="39"/>
      <c r="G35" s="39"/>
      <c r="H35" s="39"/>
      <c r="I35" s="39"/>
      <c r="J35" s="41"/>
      <c r="K35" s="22">
        <f t="shared" si="1"/>
        <v>1</v>
      </c>
    </row>
    <row r="36" spans="2:11" ht="18.75" thickBot="1" x14ac:dyDescent="0.3">
      <c r="B36" s="128"/>
      <c r="C36" s="16" t="s">
        <v>36</v>
      </c>
      <c r="D36" s="17" t="s">
        <v>30</v>
      </c>
      <c r="E36" s="39">
        <v>1</v>
      </c>
      <c r="F36" s="39"/>
      <c r="G36" s="39"/>
      <c r="H36" s="39"/>
      <c r="I36" s="39"/>
      <c r="J36" s="41"/>
      <c r="K36" s="22">
        <f t="shared" si="1"/>
        <v>1</v>
      </c>
    </row>
    <row r="37" spans="2:11" ht="18.75" thickBot="1" x14ac:dyDescent="0.3">
      <c r="B37" s="129"/>
      <c r="C37" s="16" t="s">
        <v>72</v>
      </c>
      <c r="D37" s="17" t="s">
        <v>31</v>
      </c>
      <c r="E37" s="39"/>
      <c r="F37" s="39"/>
      <c r="G37" s="39"/>
      <c r="H37" s="39"/>
      <c r="I37" s="39"/>
      <c r="J37" s="41">
        <v>1</v>
      </c>
      <c r="K37" s="22">
        <f t="shared" si="1"/>
        <v>1</v>
      </c>
    </row>
    <row r="38" spans="2:11" ht="36.75" customHeight="1" thickBot="1" x14ac:dyDescent="0.3">
      <c r="B38" s="116" t="s">
        <v>73</v>
      </c>
      <c r="C38" s="25" t="s">
        <v>74</v>
      </c>
      <c r="D38" s="14" t="s">
        <v>30</v>
      </c>
      <c r="E38" s="39"/>
      <c r="F38" s="42"/>
      <c r="G38" s="39"/>
      <c r="H38" s="39"/>
      <c r="I38" s="39">
        <v>1</v>
      </c>
      <c r="J38" s="41"/>
      <c r="K38" s="22">
        <f t="shared" si="1"/>
        <v>1</v>
      </c>
    </row>
    <row r="39" spans="2:11" ht="39" customHeight="1" thickBot="1" x14ac:dyDescent="0.3">
      <c r="B39" s="123"/>
      <c r="C39" s="17" t="s">
        <v>75</v>
      </c>
      <c r="D39" s="14" t="s">
        <v>30</v>
      </c>
      <c r="E39" s="39"/>
      <c r="F39" s="41"/>
      <c r="G39" s="39"/>
      <c r="H39" s="39">
        <v>1</v>
      </c>
      <c r="I39" s="39"/>
      <c r="J39" s="41"/>
      <c r="K39" s="22">
        <f t="shared" si="1"/>
        <v>1</v>
      </c>
    </row>
    <row r="40" spans="2:11" ht="18.75" thickBot="1" x14ac:dyDescent="0.3">
      <c r="B40" s="122" t="s">
        <v>37</v>
      </c>
      <c r="C40" s="116" t="s">
        <v>23</v>
      </c>
      <c r="D40" s="14" t="s">
        <v>30</v>
      </c>
      <c r="E40" s="39"/>
      <c r="F40" s="40">
        <v>1</v>
      </c>
      <c r="G40" s="41"/>
      <c r="H40" s="39"/>
      <c r="I40" s="39"/>
      <c r="J40" s="41"/>
      <c r="K40" s="22">
        <f t="shared" si="1"/>
        <v>1</v>
      </c>
    </row>
    <row r="41" spans="2:11" ht="64.5" customHeight="1" thickBot="1" x14ac:dyDescent="0.3">
      <c r="B41" s="117"/>
      <c r="C41" s="118"/>
      <c r="D41" s="14" t="s">
        <v>38</v>
      </c>
      <c r="E41" s="39">
        <v>1</v>
      </c>
      <c r="F41" s="39"/>
      <c r="G41" s="39"/>
      <c r="H41" s="39"/>
      <c r="I41" s="39"/>
      <c r="J41" s="41"/>
      <c r="K41" s="22">
        <f t="shared" si="1"/>
        <v>1</v>
      </c>
    </row>
    <row r="42" spans="2:11" ht="18.75" thickBot="1" x14ac:dyDescent="0.3">
      <c r="B42" s="117"/>
      <c r="C42" s="16" t="s">
        <v>39</v>
      </c>
      <c r="D42" s="17" t="s">
        <v>30</v>
      </c>
      <c r="E42" s="39"/>
      <c r="F42" s="39"/>
      <c r="G42" s="39"/>
      <c r="H42" s="39"/>
      <c r="I42" s="39">
        <v>1</v>
      </c>
      <c r="J42" s="41"/>
      <c r="K42" s="22">
        <f t="shared" si="1"/>
        <v>1</v>
      </c>
    </row>
    <row r="43" spans="2:11" ht="18.75" thickBot="1" x14ac:dyDescent="0.3">
      <c r="B43" s="118"/>
      <c r="C43" s="16" t="s">
        <v>40</v>
      </c>
      <c r="D43" s="17" t="s">
        <v>30</v>
      </c>
      <c r="E43" s="39">
        <v>1</v>
      </c>
      <c r="F43" s="39"/>
      <c r="G43" s="39"/>
      <c r="H43" s="39"/>
      <c r="I43" s="39"/>
      <c r="J43" s="41"/>
      <c r="K43" s="22">
        <f t="shared" si="1"/>
        <v>1</v>
      </c>
    </row>
    <row r="44" spans="2:11" ht="18.75" customHeight="1" thickBot="1" x14ac:dyDescent="0.3">
      <c r="B44" s="122" t="s">
        <v>41</v>
      </c>
      <c r="C44" s="116" t="s">
        <v>76</v>
      </c>
      <c r="D44" s="14" t="s">
        <v>30</v>
      </c>
      <c r="E44" s="40">
        <v>1</v>
      </c>
      <c r="F44" s="42"/>
      <c r="G44" s="41"/>
      <c r="H44" s="39"/>
      <c r="I44" s="39"/>
      <c r="J44" s="41"/>
      <c r="K44" s="22">
        <f t="shared" si="1"/>
        <v>1</v>
      </c>
    </row>
    <row r="45" spans="2:11" ht="43.5" thickBot="1" x14ac:dyDescent="0.3">
      <c r="B45" s="117"/>
      <c r="C45" s="117"/>
      <c r="D45" s="25" t="s">
        <v>152</v>
      </c>
      <c r="E45" s="39"/>
      <c r="F45" s="40">
        <v>1</v>
      </c>
      <c r="G45" s="41"/>
      <c r="H45" s="39"/>
      <c r="I45" s="39"/>
      <c r="J45" s="41"/>
      <c r="K45" s="22">
        <f t="shared" si="1"/>
        <v>1</v>
      </c>
    </row>
    <row r="46" spans="2:11" ht="27.75" customHeight="1" thickBot="1" x14ac:dyDescent="0.3">
      <c r="B46" s="117"/>
      <c r="C46" s="116" t="s">
        <v>77</v>
      </c>
      <c r="D46" s="14" t="s">
        <v>42</v>
      </c>
      <c r="E46" s="39"/>
      <c r="F46" s="40"/>
      <c r="G46" s="41">
        <v>1</v>
      </c>
      <c r="H46" s="39"/>
      <c r="I46" s="39"/>
      <c r="J46" s="41"/>
      <c r="K46" s="22">
        <f t="shared" si="1"/>
        <v>1</v>
      </c>
    </row>
    <row r="47" spans="2:11" ht="30.75" customHeight="1" thickBot="1" x14ac:dyDescent="0.3">
      <c r="B47" s="117"/>
      <c r="C47" s="123"/>
      <c r="D47" s="14" t="s">
        <v>30</v>
      </c>
      <c r="E47" s="39"/>
      <c r="F47" s="40">
        <v>1</v>
      </c>
      <c r="G47" s="41"/>
      <c r="H47" s="39"/>
      <c r="I47" s="39"/>
      <c r="J47" s="41"/>
      <c r="K47" s="22">
        <f t="shared" si="1"/>
        <v>1</v>
      </c>
    </row>
    <row r="48" spans="2:11" ht="36" customHeight="1" thickBot="1" x14ac:dyDescent="0.3">
      <c r="B48" s="117"/>
      <c r="C48" s="16" t="s">
        <v>78</v>
      </c>
      <c r="D48" s="17" t="s">
        <v>30</v>
      </c>
      <c r="E48" s="22"/>
      <c r="F48" s="22">
        <v>1</v>
      </c>
      <c r="G48" s="22"/>
      <c r="H48" s="22"/>
      <c r="I48" s="22"/>
      <c r="J48" s="42"/>
      <c r="K48" s="22">
        <f t="shared" si="1"/>
        <v>1</v>
      </c>
    </row>
    <row r="49" spans="2:11" ht="36.75" customHeight="1" thickBot="1" x14ac:dyDescent="0.3">
      <c r="B49" s="117"/>
      <c r="C49" s="29" t="s">
        <v>79</v>
      </c>
      <c r="D49" s="26" t="s">
        <v>30</v>
      </c>
      <c r="E49" s="39"/>
      <c r="F49" s="40"/>
      <c r="G49" s="41"/>
      <c r="H49" s="44"/>
      <c r="I49" s="44">
        <v>1</v>
      </c>
      <c r="J49" s="45"/>
      <c r="K49" s="22">
        <f t="shared" si="1"/>
        <v>1</v>
      </c>
    </row>
    <row r="50" spans="2:11" ht="43.5" customHeight="1" thickBot="1" x14ac:dyDescent="0.3">
      <c r="B50" s="117"/>
      <c r="C50" s="25" t="s">
        <v>88</v>
      </c>
      <c r="D50" s="25" t="s">
        <v>30</v>
      </c>
      <c r="E50" s="42"/>
      <c r="F50" s="42"/>
      <c r="G50" s="42"/>
      <c r="H50" s="42"/>
      <c r="I50" s="42">
        <v>1</v>
      </c>
      <c r="J50" s="42"/>
      <c r="K50" s="22">
        <f t="shared" si="1"/>
        <v>1</v>
      </c>
    </row>
    <row r="51" spans="2:11" ht="18.75" thickBot="1" x14ac:dyDescent="0.3">
      <c r="B51" s="116" t="s">
        <v>43</v>
      </c>
      <c r="C51" s="117" t="s">
        <v>19</v>
      </c>
      <c r="D51" s="14" t="s">
        <v>30</v>
      </c>
      <c r="E51" s="39">
        <v>1</v>
      </c>
      <c r="F51" s="40"/>
      <c r="G51" s="41"/>
      <c r="H51" s="39"/>
      <c r="I51" s="39"/>
      <c r="J51" s="41"/>
      <c r="K51" s="22">
        <f t="shared" si="1"/>
        <v>1</v>
      </c>
    </row>
    <row r="52" spans="2:11" ht="18.75" thickBot="1" x14ac:dyDescent="0.3">
      <c r="B52" s="117"/>
      <c r="C52" s="117"/>
      <c r="D52" s="14" t="s">
        <v>42</v>
      </c>
      <c r="E52" s="39"/>
      <c r="F52" s="40"/>
      <c r="G52" s="41">
        <v>1</v>
      </c>
      <c r="H52" s="39"/>
      <c r="I52" s="39"/>
      <c r="J52" s="41"/>
      <c r="K52" s="22">
        <f t="shared" si="1"/>
        <v>1</v>
      </c>
    </row>
    <row r="53" spans="2:11" ht="19.5" thickBot="1" x14ac:dyDescent="0.3">
      <c r="B53" s="117"/>
      <c r="C53" s="117"/>
      <c r="D53" s="27" t="s">
        <v>31</v>
      </c>
      <c r="E53" s="44"/>
      <c r="F53" s="28"/>
      <c r="G53" s="46"/>
      <c r="H53" s="42"/>
      <c r="I53" s="44">
        <v>1</v>
      </c>
      <c r="J53" s="45"/>
      <c r="K53" s="22">
        <f t="shared" si="1"/>
        <v>1</v>
      </c>
    </row>
    <row r="54" spans="2:11" ht="33.75" customHeight="1" thickBot="1" x14ac:dyDescent="0.3">
      <c r="B54" s="124"/>
      <c r="C54" s="25" t="s">
        <v>44</v>
      </c>
      <c r="D54" s="30" t="s">
        <v>30</v>
      </c>
      <c r="E54" s="22">
        <v>0</v>
      </c>
      <c r="F54" s="22"/>
      <c r="G54" s="22">
        <v>1</v>
      </c>
      <c r="H54" s="39"/>
      <c r="I54" s="22"/>
      <c r="J54" s="42"/>
      <c r="K54" s="22">
        <f t="shared" si="1"/>
        <v>1</v>
      </c>
    </row>
    <row r="55" spans="2:11" ht="18.75" thickBot="1" x14ac:dyDescent="0.3">
      <c r="B55" s="17" t="s">
        <v>45</v>
      </c>
      <c r="C55" s="14" t="s">
        <v>46</v>
      </c>
      <c r="D55" s="14" t="s">
        <v>30</v>
      </c>
      <c r="E55" s="39">
        <v>1</v>
      </c>
      <c r="F55" s="39"/>
      <c r="G55" s="39"/>
      <c r="H55" s="39"/>
      <c r="I55" s="39"/>
      <c r="J55" s="41"/>
      <c r="K55" s="22">
        <f t="shared" si="1"/>
        <v>1</v>
      </c>
    </row>
    <row r="56" spans="2:11" ht="18.75" thickBot="1" x14ac:dyDescent="0.3">
      <c r="B56" s="17" t="s">
        <v>47</v>
      </c>
      <c r="C56" s="14" t="s">
        <v>46</v>
      </c>
      <c r="D56" s="14" t="s">
        <v>30</v>
      </c>
      <c r="E56" s="39"/>
      <c r="F56" s="39"/>
      <c r="G56" s="39"/>
      <c r="H56" s="39"/>
      <c r="I56" s="39">
        <v>1</v>
      </c>
      <c r="J56" s="41"/>
      <c r="K56" s="22">
        <f t="shared" si="1"/>
        <v>1</v>
      </c>
    </row>
    <row r="57" spans="2:11" ht="18.75" thickBot="1" x14ac:dyDescent="0.3">
      <c r="B57" s="17" t="s">
        <v>48</v>
      </c>
      <c r="C57" s="16" t="s">
        <v>46</v>
      </c>
      <c r="D57" s="25" t="s">
        <v>30</v>
      </c>
      <c r="E57" s="22">
        <v>1</v>
      </c>
      <c r="F57" s="22"/>
      <c r="G57" s="22"/>
      <c r="H57" s="22"/>
      <c r="I57" s="22"/>
      <c r="J57" s="22"/>
      <c r="K57" s="22">
        <f t="shared" si="1"/>
        <v>1</v>
      </c>
    </row>
    <row r="58" spans="2:11" ht="18.75" thickBot="1" x14ac:dyDescent="0.3">
      <c r="B58" s="17" t="s">
        <v>49</v>
      </c>
      <c r="C58" s="16" t="s">
        <v>19</v>
      </c>
      <c r="D58" s="17" t="s">
        <v>30</v>
      </c>
      <c r="E58" s="44"/>
      <c r="F58" s="44">
        <v>1</v>
      </c>
      <c r="G58" s="44">
        <v>0</v>
      </c>
      <c r="H58" s="44"/>
      <c r="I58" s="44"/>
      <c r="J58" s="44"/>
      <c r="K58" s="22">
        <f t="shared" si="1"/>
        <v>1</v>
      </c>
    </row>
    <row r="59" spans="2:11" ht="18.75" thickBot="1" x14ac:dyDescent="0.3">
      <c r="B59" s="17" t="s">
        <v>50</v>
      </c>
      <c r="C59" s="16" t="s">
        <v>46</v>
      </c>
      <c r="D59" s="26" t="s">
        <v>30</v>
      </c>
      <c r="E59" s="42">
        <v>0</v>
      </c>
      <c r="F59" s="22">
        <v>1</v>
      </c>
      <c r="G59" s="22">
        <v>0</v>
      </c>
      <c r="H59" s="22"/>
      <c r="I59" s="22"/>
      <c r="J59" s="22"/>
      <c r="K59" s="22">
        <f t="shared" si="1"/>
        <v>1</v>
      </c>
    </row>
    <row r="60" spans="2:11" ht="18.75" thickBot="1" x14ac:dyDescent="0.3">
      <c r="B60" s="24" t="s">
        <v>51</v>
      </c>
      <c r="C60" s="24" t="s">
        <v>19</v>
      </c>
      <c r="D60" s="25" t="s">
        <v>30</v>
      </c>
      <c r="E60" s="39"/>
      <c r="F60" s="41">
        <v>1</v>
      </c>
      <c r="G60" s="41">
        <v>0</v>
      </c>
      <c r="H60" s="39"/>
      <c r="I60" s="39"/>
      <c r="J60" s="42"/>
      <c r="K60" s="22">
        <f t="shared" si="1"/>
        <v>1</v>
      </c>
    </row>
    <row r="61" spans="2:11" ht="19.5" customHeight="1" thickBot="1" x14ac:dyDescent="0.3">
      <c r="B61" s="116" t="s">
        <v>52</v>
      </c>
      <c r="C61" s="119" t="s">
        <v>19</v>
      </c>
      <c r="D61" s="17" t="s">
        <v>89</v>
      </c>
      <c r="E61" s="39">
        <v>1</v>
      </c>
      <c r="F61" s="39"/>
      <c r="G61" s="39"/>
      <c r="H61" s="39"/>
      <c r="I61" s="39"/>
      <c r="J61" s="39"/>
      <c r="K61" s="22">
        <f t="shared" si="1"/>
        <v>1</v>
      </c>
    </row>
    <row r="62" spans="2:11" ht="18.75" thickBot="1" x14ac:dyDescent="0.3">
      <c r="B62" s="117"/>
      <c r="C62" s="120"/>
      <c r="D62" s="25" t="s">
        <v>90</v>
      </c>
      <c r="E62" s="39"/>
      <c r="F62" s="39"/>
      <c r="G62" s="42">
        <v>0</v>
      </c>
      <c r="H62" s="39">
        <v>1</v>
      </c>
      <c r="I62" s="39"/>
      <c r="J62" s="39"/>
      <c r="K62" s="22">
        <f t="shared" si="1"/>
        <v>1</v>
      </c>
    </row>
    <row r="63" spans="2:11" ht="18.75" thickBot="1" x14ac:dyDescent="0.3">
      <c r="B63" s="118"/>
      <c r="C63" s="121"/>
      <c r="D63" s="17" t="s">
        <v>31</v>
      </c>
      <c r="E63" s="39"/>
      <c r="F63" s="39">
        <v>1</v>
      </c>
      <c r="G63" s="42"/>
      <c r="H63" s="39"/>
      <c r="I63" s="42">
        <v>0</v>
      </c>
      <c r="J63" s="39">
        <v>1</v>
      </c>
      <c r="K63" s="22">
        <f t="shared" si="1"/>
        <v>2</v>
      </c>
    </row>
    <row r="64" spans="2:11" ht="47.25" customHeight="1" thickBot="1" x14ac:dyDescent="0.3">
      <c r="B64" s="17" t="s">
        <v>53</v>
      </c>
      <c r="C64" s="16" t="s">
        <v>80</v>
      </c>
      <c r="D64" s="17" t="s">
        <v>30</v>
      </c>
      <c r="E64" s="39"/>
      <c r="F64" s="39">
        <v>0</v>
      </c>
      <c r="G64" s="39">
        <v>1</v>
      </c>
      <c r="H64" s="39"/>
      <c r="I64" s="39"/>
      <c r="J64" s="39"/>
      <c r="K64" s="22">
        <f t="shared" si="1"/>
        <v>1</v>
      </c>
    </row>
    <row r="65" spans="2:11" ht="18.75" thickBot="1" x14ac:dyDescent="0.3">
      <c r="B65" s="17" t="s">
        <v>54</v>
      </c>
      <c r="C65" s="16" t="s">
        <v>55</v>
      </c>
      <c r="D65" s="17" t="s">
        <v>30</v>
      </c>
      <c r="E65" s="39"/>
      <c r="F65" s="39"/>
      <c r="G65" s="39">
        <v>1</v>
      </c>
      <c r="H65" s="39"/>
      <c r="I65" s="39"/>
      <c r="J65" s="39"/>
      <c r="K65" s="22">
        <f t="shared" si="1"/>
        <v>1</v>
      </c>
    </row>
    <row r="66" spans="2:11" ht="18.75" thickBot="1" x14ac:dyDescent="0.3">
      <c r="B66" s="17" t="s">
        <v>81</v>
      </c>
      <c r="C66" s="16" t="s">
        <v>55</v>
      </c>
      <c r="D66" s="17" t="s">
        <v>30</v>
      </c>
      <c r="E66" s="39"/>
      <c r="F66" s="39"/>
      <c r="G66" s="39"/>
      <c r="H66" s="39">
        <v>1</v>
      </c>
      <c r="I66" s="39"/>
      <c r="J66" s="39"/>
      <c r="K66" s="22">
        <f t="shared" si="1"/>
        <v>1</v>
      </c>
    </row>
    <row r="67" spans="2:11" ht="18.75" thickBot="1" x14ac:dyDescent="0.3">
      <c r="B67" s="17" t="s">
        <v>82</v>
      </c>
      <c r="C67" s="16" t="s">
        <v>83</v>
      </c>
      <c r="D67" s="17" t="s">
        <v>30</v>
      </c>
      <c r="E67" s="39"/>
      <c r="F67" s="39"/>
      <c r="G67" s="39"/>
      <c r="H67" s="39"/>
      <c r="I67" s="39">
        <v>1</v>
      </c>
      <c r="J67" s="39"/>
      <c r="K67" s="22">
        <f t="shared" si="1"/>
        <v>1</v>
      </c>
    </row>
    <row r="68" spans="2:11" ht="34.5" customHeight="1" thickBot="1" x14ac:dyDescent="0.3">
      <c r="B68" s="31"/>
      <c r="C68" s="27"/>
      <c r="D68" s="32" t="s">
        <v>92</v>
      </c>
      <c r="E68" s="33">
        <f t="shared" ref="E68:K68" si="2">SUM(E17:E67)</f>
        <v>10</v>
      </c>
      <c r="F68" s="33">
        <f t="shared" si="2"/>
        <v>11</v>
      </c>
      <c r="G68" s="33">
        <f t="shared" si="2"/>
        <v>7</v>
      </c>
      <c r="H68" s="33">
        <f t="shared" si="2"/>
        <v>5</v>
      </c>
      <c r="I68" s="33">
        <f t="shared" si="2"/>
        <v>13</v>
      </c>
      <c r="J68" s="33">
        <f t="shared" si="2"/>
        <v>7</v>
      </c>
      <c r="K68" s="33">
        <f t="shared" si="2"/>
        <v>53</v>
      </c>
    </row>
    <row r="69" spans="2:11" ht="19.5" thickBot="1" x14ac:dyDescent="0.3">
      <c r="B69" s="34"/>
      <c r="C69" s="34"/>
      <c r="D69" s="34"/>
      <c r="E69" s="28"/>
      <c r="F69" s="28"/>
      <c r="G69" s="28"/>
      <c r="H69" s="28"/>
      <c r="I69" s="28"/>
      <c r="J69" s="28"/>
      <c r="K69" s="28"/>
    </row>
    <row r="70" spans="2:11" ht="32.25" customHeight="1" thickBot="1" x14ac:dyDescent="0.3">
      <c r="B70" s="34"/>
      <c r="C70" s="34"/>
      <c r="D70" s="35" t="s">
        <v>84</v>
      </c>
      <c r="E70" s="47">
        <f t="shared" ref="E70:K70" si="3">E11+E68</f>
        <v>11</v>
      </c>
      <c r="F70" s="21">
        <f t="shared" si="3"/>
        <v>11</v>
      </c>
      <c r="G70" s="48">
        <f t="shared" si="3"/>
        <v>7</v>
      </c>
      <c r="H70" s="21">
        <f t="shared" si="3"/>
        <v>5</v>
      </c>
      <c r="I70" s="21">
        <f t="shared" si="3"/>
        <v>14</v>
      </c>
      <c r="J70" s="21">
        <f t="shared" si="3"/>
        <v>9</v>
      </c>
      <c r="K70" s="36">
        <f t="shared" si="3"/>
        <v>57</v>
      </c>
    </row>
  </sheetData>
  <mergeCells count="27">
    <mergeCell ref="B1:K1"/>
    <mergeCell ref="B5:B6"/>
    <mergeCell ref="C5:C6"/>
    <mergeCell ref="D5:D6"/>
    <mergeCell ref="E5:J5"/>
    <mergeCell ref="K5:K6"/>
    <mergeCell ref="B38:B39"/>
    <mergeCell ref="B7:B10"/>
    <mergeCell ref="C7:C9"/>
    <mergeCell ref="B15:B16"/>
    <mergeCell ref="C15:C16"/>
    <mergeCell ref="K15:K16"/>
    <mergeCell ref="B17:B37"/>
    <mergeCell ref="C17:C27"/>
    <mergeCell ref="C28:C30"/>
    <mergeCell ref="C31:C32"/>
    <mergeCell ref="D15:D16"/>
    <mergeCell ref="E15:J15"/>
    <mergeCell ref="B61:B63"/>
    <mergeCell ref="C61:C63"/>
    <mergeCell ref="B40:B43"/>
    <mergeCell ref="C40:C41"/>
    <mergeCell ref="B44:B50"/>
    <mergeCell ref="C44:C45"/>
    <mergeCell ref="C46:C47"/>
    <mergeCell ref="B51:B54"/>
    <mergeCell ref="C51:C53"/>
  </mergeCells>
  <pageMargins left="0.70866141732283472" right="0.70866141732283472" top="0.74803149606299213" bottom="0.74803149606299213" header="0.31496062992125984" footer="0.31496062992125984"/>
  <pageSetup scale="4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300F6-A5C1-4457-B33D-AA3865F517F2}">
  <sheetPr>
    <tabColor rgb="FF00B050"/>
    <pageSetUpPr fitToPage="1"/>
  </sheetPr>
  <dimension ref="A1:D38"/>
  <sheetViews>
    <sheetView topLeftCell="A7" zoomScale="70" zoomScaleNormal="70" workbookViewId="0">
      <selection activeCell="D47" sqref="D47"/>
    </sheetView>
  </sheetViews>
  <sheetFormatPr baseColWidth="10" defaultRowHeight="15" x14ac:dyDescent="0.25"/>
  <cols>
    <col min="2" max="2" width="15.7109375" customWidth="1"/>
    <col min="3" max="3" width="75.85546875" customWidth="1"/>
    <col min="4" max="4" width="22.85546875" customWidth="1"/>
    <col min="5" max="5" width="19.7109375" customWidth="1"/>
  </cols>
  <sheetData>
    <row r="1" spans="1:4" s="2" customFormat="1" ht="63.75" customHeight="1" x14ac:dyDescent="0.25">
      <c r="A1" s="142" t="s">
        <v>100</v>
      </c>
      <c r="B1" s="142"/>
      <c r="C1" s="142"/>
      <c r="D1" s="142"/>
    </row>
    <row r="3" spans="1:4" x14ac:dyDescent="0.25">
      <c r="A3" s="143" t="s">
        <v>94</v>
      </c>
      <c r="B3" s="144"/>
      <c r="C3" s="144"/>
      <c r="D3" s="144"/>
    </row>
    <row r="4" spans="1:4" x14ac:dyDescent="0.25">
      <c r="A4" s="2"/>
      <c r="B4" s="2"/>
      <c r="C4" s="2"/>
      <c r="D4" s="2"/>
    </row>
    <row r="5" spans="1:4" ht="42.75" customHeight="1" x14ac:dyDescent="0.25">
      <c r="A5" s="6" t="s">
        <v>0</v>
      </c>
      <c r="B5" s="7" t="s">
        <v>1</v>
      </c>
      <c r="C5" s="7" t="s">
        <v>2</v>
      </c>
      <c r="D5" s="7" t="s">
        <v>3</v>
      </c>
    </row>
    <row r="6" spans="1:4" ht="18" x14ac:dyDescent="0.25">
      <c r="A6" s="1">
        <v>1</v>
      </c>
      <c r="B6" s="1" t="s">
        <v>4</v>
      </c>
      <c r="C6" s="8" t="s">
        <v>5</v>
      </c>
      <c r="D6" s="9">
        <v>1</v>
      </c>
    </row>
    <row r="7" spans="1:4" ht="18" x14ac:dyDescent="0.25">
      <c r="A7" s="1">
        <v>2</v>
      </c>
      <c r="B7" s="1" t="s">
        <v>6</v>
      </c>
      <c r="C7" s="8" t="s">
        <v>7</v>
      </c>
      <c r="D7" s="9">
        <v>0</v>
      </c>
    </row>
    <row r="8" spans="1:4" ht="18" x14ac:dyDescent="0.25">
      <c r="A8" s="1">
        <v>3</v>
      </c>
      <c r="B8" s="1" t="s">
        <v>8</v>
      </c>
      <c r="C8" s="8" t="s">
        <v>9</v>
      </c>
      <c r="D8" s="9">
        <v>0</v>
      </c>
    </row>
    <row r="9" spans="1:4" ht="18" x14ac:dyDescent="0.25">
      <c r="A9" s="1">
        <v>4</v>
      </c>
      <c r="B9" s="1" t="s">
        <v>10</v>
      </c>
      <c r="C9" s="8" t="s">
        <v>57</v>
      </c>
      <c r="D9" s="9">
        <v>0</v>
      </c>
    </row>
    <row r="10" spans="1:4" ht="18" x14ac:dyDescent="0.25">
      <c r="A10" s="1">
        <v>5</v>
      </c>
      <c r="B10" s="1" t="s">
        <v>11</v>
      </c>
      <c r="C10" s="8" t="s">
        <v>58</v>
      </c>
      <c r="D10" s="9">
        <v>1</v>
      </c>
    </row>
    <row r="11" spans="1:4" ht="18" x14ac:dyDescent="0.25">
      <c r="A11" s="1">
        <v>6</v>
      </c>
      <c r="B11" s="1" t="s">
        <v>59</v>
      </c>
      <c r="C11" s="8" t="s">
        <v>12</v>
      </c>
      <c r="D11" s="9">
        <v>2</v>
      </c>
    </row>
    <row r="12" spans="1:4" x14ac:dyDescent="0.25">
      <c r="A12" s="4"/>
      <c r="B12" s="4"/>
      <c r="C12" s="4"/>
      <c r="D12" s="4"/>
    </row>
    <row r="13" spans="1:4" ht="23.25" x14ac:dyDescent="0.25">
      <c r="A13" s="140" t="s">
        <v>95</v>
      </c>
      <c r="B13" s="141"/>
      <c r="C13" s="141"/>
      <c r="D13" s="10">
        <f>SUM(D6:D12)</f>
        <v>4</v>
      </c>
    </row>
    <row r="14" spans="1:4" x14ac:dyDescent="0.25">
      <c r="A14" s="4"/>
      <c r="B14" s="4"/>
      <c r="C14" s="4"/>
      <c r="D14" s="4"/>
    </row>
    <row r="15" spans="1:4" x14ac:dyDescent="0.25">
      <c r="A15" s="143" t="s">
        <v>96</v>
      </c>
      <c r="B15" s="144"/>
      <c r="C15" s="144"/>
      <c r="D15" s="144"/>
    </row>
    <row r="16" spans="1:4" x14ac:dyDescent="0.25">
      <c r="A16" s="3"/>
      <c r="B16" s="3"/>
      <c r="C16" s="3"/>
      <c r="D16" s="3"/>
    </row>
    <row r="17" spans="1:4" ht="42" customHeight="1" x14ac:dyDescent="0.25">
      <c r="A17" s="6" t="s">
        <v>0</v>
      </c>
      <c r="B17" s="7" t="s">
        <v>1</v>
      </c>
      <c r="C17" s="7" t="s">
        <v>2</v>
      </c>
      <c r="D17" s="7" t="s">
        <v>3</v>
      </c>
    </row>
    <row r="18" spans="1:4" ht="30.75" customHeight="1" x14ac:dyDescent="0.25">
      <c r="A18" s="1">
        <v>1</v>
      </c>
      <c r="B18" s="1" t="s">
        <v>4</v>
      </c>
      <c r="C18" s="8" t="s">
        <v>5</v>
      </c>
      <c r="D18" s="9">
        <v>10</v>
      </c>
    </row>
    <row r="19" spans="1:4" ht="29.25" customHeight="1" x14ac:dyDescent="0.25">
      <c r="A19" s="1">
        <v>2</v>
      </c>
      <c r="B19" s="1" t="s">
        <v>6</v>
      </c>
      <c r="C19" s="8" t="s">
        <v>7</v>
      </c>
      <c r="D19" s="9">
        <v>11</v>
      </c>
    </row>
    <row r="20" spans="1:4" ht="29.25" customHeight="1" x14ac:dyDescent="0.25">
      <c r="A20" s="1">
        <v>3</v>
      </c>
      <c r="B20" s="1" t="s">
        <v>8</v>
      </c>
      <c r="C20" s="8" t="s">
        <v>9</v>
      </c>
      <c r="D20" s="9">
        <v>7</v>
      </c>
    </row>
    <row r="21" spans="1:4" ht="30.75" customHeight="1" x14ac:dyDescent="0.25">
      <c r="A21" s="1">
        <v>4</v>
      </c>
      <c r="B21" s="1" t="s">
        <v>10</v>
      </c>
      <c r="C21" s="8" t="s">
        <v>57</v>
      </c>
      <c r="D21" s="9">
        <v>5</v>
      </c>
    </row>
    <row r="22" spans="1:4" ht="26.25" customHeight="1" x14ac:dyDescent="0.25">
      <c r="A22" s="1">
        <v>5</v>
      </c>
      <c r="B22" s="1" t="s">
        <v>11</v>
      </c>
      <c r="C22" s="8" t="s">
        <v>58</v>
      </c>
      <c r="D22" s="9">
        <v>13</v>
      </c>
    </row>
    <row r="23" spans="1:4" ht="32.25" customHeight="1" x14ac:dyDescent="0.25">
      <c r="A23" s="5">
        <v>6</v>
      </c>
      <c r="B23" s="5" t="s">
        <v>59</v>
      </c>
      <c r="C23" s="8" t="s">
        <v>12</v>
      </c>
      <c r="D23" s="9">
        <v>7</v>
      </c>
    </row>
    <row r="24" spans="1:4" x14ac:dyDescent="0.25">
      <c r="A24" s="4"/>
      <c r="B24" s="4"/>
      <c r="C24" s="4"/>
      <c r="D24" s="4"/>
    </row>
    <row r="25" spans="1:4" ht="23.25" x14ac:dyDescent="0.25">
      <c r="A25" s="140" t="s">
        <v>97</v>
      </c>
      <c r="B25" s="141"/>
      <c r="C25" s="141"/>
      <c r="D25" s="10">
        <f>SUM(D18:D24)</f>
        <v>53</v>
      </c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ht="23.25" customHeight="1" x14ac:dyDescent="0.25">
      <c r="A28" s="143" t="s">
        <v>98</v>
      </c>
      <c r="B28" s="144"/>
      <c r="C28" s="144"/>
      <c r="D28" s="144"/>
    </row>
    <row r="29" spans="1:4" x14ac:dyDescent="0.25">
      <c r="A29" s="3"/>
      <c r="B29" s="3"/>
      <c r="C29" s="3"/>
      <c r="D29" s="3"/>
    </row>
    <row r="30" spans="1:4" ht="44.25" customHeight="1" x14ac:dyDescent="0.25">
      <c r="A30" s="6" t="s">
        <v>0</v>
      </c>
      <c r="B30" s="7" t="s">
        <v>1</v>
      </c>
      <c r="C30" s="7" t="s">
        <v>2</v>
      </c>
      <c r="D30" s="7" t="s">
        <v>3</v>
      </c>
    </row>
    <row r="31" spans="1:4" ht="24.75" customHeight="1" x14ac:dyDescent="0.25">
      <c r="A31" s="1">
        <v>1</v>
      </c>
      <c r="B31" s="1" t="s">
        <v>4</v>
      </c>
      <c r="C31" s="8" t="s">
        <v>5</v>
      </c>
      <c r="D31" s="9">
        <v>11</v>
      </c>
    </row>
    <row r="32" spans="1:4" ht="26.25" customHeight="1" x14ac:dyDescent="0.25">
      <c r="A32" s="1">
        <v>2</v>
      </c>
      <c r="B32" s="1" t="s">
        <v>6</v>
      </c>
      <c r="C32" s="8" t="s">
        <v>7</v>
      </c>
      <c r="D32" s="9">
        <v>11</v>
      </c>
    </row>
    <row r="33" spans="1:4" ht="27.75" customHeight="1" x14ac:dyDescent="0.25">
      <c r="A33" s="1">
        <v>3</v>
      </c>
      <c r="B33" s="1" t="s">
        <v>8</v>
      </c>
      <c r="C33" s="8" t="s">
        <v>9</v>
      </c>
      <c r="D33" s="9">
        <v>7</v>
      </c>
    </row>
    <row r="34" spans="1:4" ht="24.75" customHeight="1" x14ac:dyDescent="0.25">
      <c r="A34" s="1">
        <v>4</v>
      </c>
      <c r="B34" s="1" t="s">
        <v>10</v>
      </c>
      <c r="C34" s="8" t="s">
        <v>57</v>
      </c>
      <c r="D34" s="9">
        <v>5</v>
      </c>
    </row>
    <row r="35" spans="1:4" ht="26.25" customHeight="1" x14ac:dyDescent="0.25">
      <c r="A35" s="1">
        <v>5</v>
      </c>
      <c r="B35" s="1" t="s">
        <v>11</v>
      </c>
      <c r="C35" s="8" t="s">
        <v>118</v>
      </c>
      <c r="D35" s="9">
        <v>14</v>
      </c>
    </row>
    <row r="36" spans="1:4" ht="26.25" customHeight="1" x14ac:dyDescent="0.25">
      <c r="A36" s="5">
        <v>6</v>
      </c>
      <c r="B36" s="5" t="s">
        <v>59</v>
      </c>
      <c r="C36" s="8" t="s">
        <v>119</v>
      </c>
      <c r="D36" s="9">
        <v>9</v>
      </c>
    </row>
    <row r="37" spans="1:4" x14ac:dyDescent="0.25">
      <c r="A37" s="4"/>
      <c r="B37" s="4"/>
      <c r="C37" s="4"/>
      <c r="D37" s="4"/>
    </row>
    <row r="38" spans="1:4" ht="19.5" customHeight="1" x14ac:dyDescent="0.25">
      <c r="A38" s="140" t="s">
        <v>99</v>
      </c>
      <c r="B38" s="141"/>
      <c r="C38" s="141"/>
      <c r="D38" s="10">
        <f>SUM(D31:D37)</f>
        <v>57</v>
      </c>
    </row>
  </sheetData>
  <mergeCells count="7">
    <mergeCell ref="A38:C38"/>
    <mergeCell ref="A1:D1"/>
    <mergeCell ref="A3:D3"/>
    <mergeCell ref="A13:C13"/>
    <mergeCell ref="A15:D15"/>
    <mergeCell ref="A25:C25"/>
    <mergeCell ref="A28:D28"/>
  </mergeCells>
  <pageMargins left="0.7" right="0.7" top="0.75" bottom="0.75" header="0.3" footer="0.3"/>
  <pageSetup paperSize="5" scale="4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06582-B662-49E4-8DCD-B7D00FDABC01}">
  <sheetPr>
    <tabColor rgb="FF00B050"/>
    <pageSetUpPr fitToPage="1"/>
  </sheetPr>
  <dimension ref="B2:W80"/>
  <sheetViews>
    <sheetView topLeftCell="A53" zoomScale="70" zoomScaleNormal="70" workbookViewId="0">
      <selection activeCell="I78" sqref="I78:K78"/>
    </sheetView>
  </sheetViews>
  <sheetFormatPr baseColWidth="10" defaultRowHeight="15" x14ac:dyDescent="0.25"/>
  <cols>
    <col min="1" max="2" width="11.42578125" style="51"/>
    <col min="3" max="3" width="12.28515625" style="51" customWidth="1"/>
    <col min="4" max="4" width="40.85546875" style="51" customWidth="1"/>
    <col min="5" max="5" width="25.140625" style="51" customWidth="1"/>
    <col min="6" max="6" width="17.28515625" style="51" customWidth="1"/>
    <col min="7" max="7" width="20" style="51" customWidth="1"/>
    <col min="8" max="8" width="22" style="51" customWidth="1"/>
    <col min="9" max="9" width="25" style="51" customWidth="1"/>
    <col min="10" max="10" width="12.42578125" style="51" customWidth="1"/>
    <col min="11" max="11" width="16.7109375" style="51" customWidth="1"/>
    <col min="12" max="12" width="14.140625" style="51" customWidth="1"/>
    <col min="13" max="13" width="21.7109375" style="51" bestFit="1" customWidth="1"/>
    <col min="14" max="14" width="22.140625" style="51" customWidth="1"/>
    <col min="15" max="15" width="16.42578125" style="51" customWidth="1"/>
    <col min="16" max="16" width="30.28515625" style="51" bestFit="1" customWidth="1"/>
    <col min="17" max="17" width="32.28515625" style="51" customWidth="1"/>
    <col min="18" max="23" width="33.5703125" style="51" customWidth="1"/>
    <col min="24" max="24" width="19.7109375" style="51" customWidth="1"/>
    <col min="25" max="16384" width="11.42578125" style="51"/>
  </cols>
  <sheetData>
    <row r="2" spans="2:23" s="49" customFormat="1" ht="93" customHeight="1" x14ac:dyDescent="0.25">
      <c r="B2" s="162" t="s">
        <v>101</v>
      </c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</row>
    <row r="4" spans="2:23" ht="15" customHeight="1" x14ac:dyDescent="0.25">
      <c r="B4" s="163" t="s">
        <v>102</v>
      </c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50"/>
      <c r="T4" s="50"/>
      <c r="U4" s="50"/>
      <c r="V4" s="50"/>
      <c r="W4" s="2"/>
    </row>
    <row r="5" spans="2:23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2:23" ht="84" customHeight="1" x14ac:dyDescent="0.25">
      <c r="B6" s="6" t="s">
        <v>0</v>
      </c>
      <c r="C6" s="7" t="s">
        <v>1</v>
      </c>
      <c r="D6" s="7" t="s">
        <v>2</v>
      </c>
      <c r="E6" s="7" t="s">
        <v>103</v>
      </c>
      <c r="F6" s="7" t="s">
        <v>104</v>
      </c>
      <c r="G6" s="6" t="s">
        <v>105</v>
      </c>
      <c r="H6" s="6" t="s">
        <v>106</v>
      </c>
      <c r="I6" s="6" t="s">
        <v>107</v>
      </c>
      <c r="J6" s="6" t="s">
        <v>108</v>
      </c>
      <c r="K6" s="6" t="s">
        <v>109</v>
      </c>
      <c r="L6" s="6" t="s">
        <v>110</v>
      </c>
      <c r="M6" s="6" t="s">
        <v>111</v>
      </c>
      <c r="N6" s="52" t="s">
        <v>112</v>
      </c>
      <c r="O6" s="7" t="s">
        <v>3</v>
      </c>
      <c r="P6" s="7" t="s">
        <v>113</v>
      </c>
      <c r="Q6" s="52" t="s">
        <v>114</v>
      </c>
      <c r="R6" s="52" t="s">
        <v>115</v>
      </c>
      <c r="S6" s="104"/>
      <c r="T6" s="104"/>
      <c r="U6" s="104"/>
      <c r="V6" s="104"/>
      <c r="W6" s="104"/>
    </row>
    <row r="7" spans="2:23" ht="30" x14ac:dyDescent="0.25">
      <c r="B7" s="1">
        <v>1</v>
      </c>
      <c r="C7" s="1" t="s">
        <v>4</v>
      </c>
      <c r="D7" s="8" t="s">
        <v>5</v>
      </c>
      <c r="E7" s="53">
        <f>1750905*9.85</f>
        <v>17246414.25</v>
      </c>
      <c r="F7" s="54">
        <v>6474</v>
      </c>
      <c r="G7" s="55">
        <f>E7+F7</f>
        <v>17252888.25</v>
      </c>
      <c r="H7" s="56">
        <v>0.1</v>
      </c>
      <c r="I7" s="56">
        <v>1</v>
      </c>
      <c r="J7" s="57">
        <v>24</v>
      </c>
      <c r="K7" s="57">
        <v>30</v>
      </c>
      <c r="L7" s="57">
        <v>24</v>
      </c>
      <c r="M7" s="53">
        <f>ROUND(((((G7*(1+H7))*I7/30))*30/24)*24,0)</f>
        <v>18978177</v>
      </c>
      <c r="N7" s="53">
        <f>ROUND(((M7*(1+1.9%))),0)</f>
        <v>19338762</v>
      </c>
      <c r="O7" s="9">
        <v>1</v>
      </c>
      <c r="P7" s="58">
        <f>ROUND((N7*O7)*1,0)</f>
        <v>19338762</v>
      </c>
      <c r="Q7" s="59">
        <f>ROUND((P7/30*14),0)</f>
        <v>9024756</v>
      </c>
      <c r="R7" s="59">
        <f>Q7</f>
        <v>9024756</v>
      </c>
      <c r="S7" s="105"/>
      <c r="T7" s="105"/>
      <c r="U7" s="105"/>
      <c r="V7" s="105"/>
      <c r="W7" s="105"/>
    </row>
    <row r="8" spans="2:23" ht="30" x14ac:dyDescent="0.25">
      <c r="B8" s="1">
        <v>2</v>
      </c>
      <c r="C8" s="1" t="s">
        <v>6</v>
      </c>
      <c r="D8" s="8" t="s">
        <v>7</v>
      </c>
      <c r="E8" s="53">
        <f>1750905*9.85</f>
        <v>17246414.25</v>
      </c>
      <c r="F8" s="54">
        <v>6474</v>
      </c>
      <c r="G8" s="55">
        <f>E8+F8</f>
        <v>17252888.25</v>
      </c>
      <c r="H8" s="56">
        <v>0.08</v>
      </c>
      <c r="I8" s="56">
        <v>1</v>
      </c>
      <c r="J8" s="57">
        <v>24</v>
      </c>
      <c r="K8" s="57">
        <v>30</v>
      </c>
      <c r="L8" s="57">
        <v>24</v>
      </c>
      <c r="M8" s="53">
        <f>ROUND(((((G8*(1+H8))*I8/30))*30/24)*24,0)</f>
        <v>18633119</v>
      </c>
      <c r="N8" s="53">
        <f>ROUND(((M8*(1+1.9%))),0)</f>
        <v>18987148</v>
      </c>
      <c r="O8" s="9">
        <v>0</v>
      </c>
      <c r="P8" s="58">
        <f>ROUND((N8*O8)*1,0)</f>
        <v>0</v>
      </c>
      <c r="Q8" s="59">
        <f>ROUND((P8/30*14),0)</f>
        <v>0</v>
      </c>
      <c r="R8" s="59">
        <f>Q8</f>
        <v>0</v>
      </c>
      <c r="S8" s="105"/>
      <c r="T8" s="105"/>
      <c r="U8" s="105"/>
      <c r="V8" s="105"/>
      <c r="W8" s="105"/>
    </row>
    <row r="9" spans="2:23" ht="30" x14ac:dyDescent="0.25">
      <c r="B9" s="1">
        <v>3</v>
      </c>
      <c r="C9" s="1" t="s">
        <v>8</v>
      </c>
      <c r="D9" s="8" t="s">
        <v>9</v>
      </c>
      <c r="E9" s="53">
        <f>1750905*9.85</f>
        <v>17246414.25</v>
      </c>
      <c r="F9" s="54">
        <v>4542</v>
      </c>
      <c r="G9" s="55">
        <f>E9+F9</f>
        <v>17250956.25</v>
      </c>
      <c r="H9" s="56">
        <v>0.08</v>
      </c>
      <c r="I9" s="60">
        <f>R19*12</f>
        <v>0.43929230769230765</v>
      </c>
      <c r="J9" s="57">
        <v>12</v>
      </c>
      <c r="K9" s="57">
        <v>30</v>
      </c>
      <c r="L9" s="57">
        <v>12</v>
      </c>
      <c r="M9" s="53">
        <f>ROUND(((((G9*(1+H9))*I9/30))*K9/L9)*J9,0)</f>
        <v>8184469</v>
      </c>
      <c r="N9" s="53">
        <f>ROUND(((M9*(1+1.9%))),0)</f>
        <v>8339974</v>
      </c>
      <c r="O9" s="9">
        <v>0</v>
      </c>
      <c r="P9" s="58">
        <f>ROUND((N9*O9)*1,0)</f>
        <v>0</v>
      </c>
      <c r="Q9" s="59">
        <f>ROUND((P9/30*14),0)</f>
        <v>0</v>
      </c>
      <c r="R9" s="59">
        <f>Q9</f>
        <v>0</v>
      </c>
      <c r="S9" s="105"/>
      <c r="T9" s="105"/>
      <c r="U9" s="105"/>
      <c r="V9" s="105"/>
      <c r="W9" s="105"/>
    </row>
    <row r="10" spans="2:23" ht="88.5" customHeight="1" x14ac:dyDescent="0.25">
      <c r="B10" s="6" t="s">
        <v>0</v>
      </c>
      <c r="C10" s="7" t="s">
        <v>1</v>
      </c>
      <c r="D10" s="7" t="s">
        <v>2</v>
      </c>
      <c r="E10" s="7" t="s">
        <v>103</v>
      </c>
      <c r="F10" s="7" t="s">
        <v>104</v>
      </c>
      <c r="G10" s="6" t="s">
        <v>105</v>
      </c>
      <c r="H10" s="6" t="s">
        <v>106</v>
      </c>
      <c r="I10" s="6" t="s">
        <v>107</v>
      </c>
      <c r="J10" s="6" t="s">
        <v>108</v>
      </c>
      <c r="K10" s="6" t="s">
        <v>109</v>
      </c>
      <c r="L10" s="6" t="s">
        <v>110</v>
      </c>
      <c r="M10" s="6" t="s">
        <v>111</v>
      </c>
      <c r="N10" s="52" t="s">
        <v>112</v>
      </c>
      <c r="O10" s="7" t="s">
        <v>3</v>
      </c>
      <c r="P10" s="7" t="s">
        <v>116</v>
      </c>
      <c r="Q10" s="52" t="s">
        <v>117</v>
      </c>
      <c r="R10" s="52" t="s">
        <v>115</v>
      </c>
      <c r="S10" s="104"/>
      <c r="T10" s="104"/>
      <c r="U10" s="104"/>
      <c r="V10" s="104"/>
      <c r="W10" s="104"/>
    </row>
    <row r="11" spans="2:23" ht="30" x14ac:dyDescent="0.25">
      <c r="B11" s="1">
        <v>4</v>
      </c>
      <c r="C11" s="1" t="s">
        <v>10</v>
      </c>
      <c r="D11" s="8" t="s">
        <v>57</v>
      </c>
      <c r="E11" s="53">
        <f>1750905*9.85</f>
        <v>17246414.25</v>
      </c>
      <c r="F11" s="54">
        <v>3283</v>
      </c>
      <c r="G11" s="55">
        <f>E11+F11</f>
        <v>17249697.25</v>
      </c>
      <c r="H11" s="56">
        <v>0.1</v>
      </c>
      <c r="I11" s="60">
        <f>R19*12</f>
        <v>0.43929230769230765</v>
      </c>
      <c r="J11" s="57">
        <v>12</v>
      </c>
      <c r="K11" s="57">
        <v>20</v>
      </c>
      <c r="L11" s="57">
        <v>12</v>
      </c>
      <c r="M11" s="53">
        <f>ROUND(((((G11*(1+H11))*I11/30))*K11/L11)*J11,0)</f>
        <v>5556950</v>
      </c>
      <c r="N11" s="53">
        <f>ROUND(((M11*(1+1.9%))),0)</f>
        <v>5662532</v>
      </c>
      <c r="O11" s="9">
        <v>0</v>
      </c>
      <c r="P11" s="58">
        <f>ROUND((N11*O11)*1,0)</f>
        <v>0</v>
      </c>
      <c r="Q11" s="59">
        <f>ROUND((P11/20*10),0)</f>
        <v>0</v>
      </c>
      <c r="R11" s="59">
        <f>Q11</f>
        <v>0</v>
      </c>
      <c r="S11" s="105"/>
      <c r="T11" s="105"/>
      <c r="U11" s="105"/>
      <c r="V11" s="105"/>
      <c r="W11" s="105"/>
    </row>
    <row r="12" spans="2:23" ht="30" x14ac:dyDescent="0.25">
      <c r="B12" s="1">
        <v>5</v>
      </c>
      <c r="C12" s="1" t="s">
        <v>11</v>
      </c>
      <c r="D12" s="8" t="s">
        <v>118</v>
      </c>
      <c r="E12" s="53">
        <f>1750905*9.85</f>
        <v>17246414.25</v>
      </c>
      <c r="F12" s="54">
        <v>3285</v>
      </c>
      <c r="G12" s="55">
        <f>E12+F12</f>
        <v>17249699.25</v>
      </c>
      <c r="H12" s="56">
        <v>0.08</v>
      </c>
      <c r="I12" s="60">
        <f>R19*12</f>
        <v>0.43929230769230765</v>
      </c>
      <c r="J12" s="57">
        <v>12</v>
      </c>
      <c r="K12" s="57">
        <v>20</v>
      </c>
      <c r="L12" s="57">
        <v>12</v>
      </c>
      <c r="M12" s="53">
        <f>ROUND(((((G12*(1+H12))*I12/30))*K12/L12)*J12,0)</f>
        <v>5455915</v>
      </c>
      <c r="N12" s="53">
        <f>ROUND(((M12*(1+1.9%))),0)</f>
        <v>5559577</v>
      </c>
      <c r="O12" s="9">
        <v>1</v>
      </c>
      <c r="P12" s="58">
        <f>ROUND((N12*O12)*1,0)</f>
        <v>5559577</v>
      </c>
      <c r="Q12" s="59">
        <f>ROUND((P12/20*10),0)</f>
        <v>2779789</v>
      </c>
      <c r="R12" s="59">
        <f>Q12</f>
        <v>2779789</v>
      </c>
      <c r="S12" s="105"/>
      <c r="T12" s="105"/>
      <c r="U12" s="105"/>
      <c r="V12" s="105"/>
      <c r="W12" s="105"/>
    </row>
    <row r="13" spans="2:23" ht="30" x14ac:dyDescent="0.25">
      <c r="B13" s="1">
        <v>6</v>
      </c>
      <c r="C13" s="1" t="s">
        <v>59</v>
      </c>
      <c r="D13" s="8" t="s">
        <v>119</v>
      </c>
      <c r="E13" s="53">
        <f>1750905*9.85</f>
        <v>17246414.25</v>
      </c>
      <c r="F13" s="54">
        <v>3110</v>
      </c>
      <c r="G13" s="55">
        <f>E13+F13</f>
        <v>17249524.25</v>
      </c>
      <c r="H13" s="56">
        <v>0.08</v>
      </c>
      <c r="I13" s="60">
        <f>R19*8</f>
        <v>0.29286153846153845</v>
      </c>
      <c r="J13" s="57">
        <v>8</v>
      </c>
      <c r="K13" s="57">
        <v>20</v>
      </c>
      <c r="L13" s="57">
        <v>8</v>
      </c>
      <c r="M13" s="53">
        <f>ROUND(((((G13*(1+H13))*I13/30))*K13/L13)*J13,0)</f>
        <v>3637240</v>
      </c>
      <c r="N13" s="53">
        <f>ROUND(((M13*(1+1.9%))),0)</f>
        <v>3706348</v>
      </c>
      <c r="O13" s="9">
        <v>2</v>
      </c>
      <c r="P13" s="58">
        <f>ROUND((N13*O13)*1,0)</f>
        <v>7412696</v>
      </c>
      <c r="Q13" s="59">
        <f>ROUND((P13/20*10),0)</f>
        <v>3706348</v>
      </c>
      <c r="R13" s="59">
        <f>Q13</f>
        <v>3706348</v>
      </c>
      <c r="S13" s="105"/>
      <c r="T13" s="105"/>
      <c r="U13" s="105"/>
      <c r="V13" s="105"/>
      <c r="W13" s="105"/>
    </row>
    <row r="14" spans="2:23" ht="23.25" x14ac:dyDescent="0.25">
      <c r="B14" s="4"/>
      <c r="C14" s="4"/>
      <c r="D14" s="4"/>
      <c r="E14" s="4"/>
      <c r="F14" s="4"/>
      <c r="G14" s="4"/>
      <c r="H14" s="4"/>
      <c r="I14" s="61"/>
      <c r="J14" s="4"/>
      <c r="K14" s="4"/>
      <c r="L14" s="4"/>
      <c r="M14" s="4"/>
      <c r="N14" s="4"/>
      <c r="O14" s="4"/>
      <c r="P14" s="62"/>
      <c r="Q14" s="63"/>
      <c r="R14" s="64"/>
      <c r="S14" s="106"/>
      <c r="T14" s="106"/>
      <c r="U14" s="106"/>
      <c r="V14" s="106"/>
      <c r="W14" s="107"/>
    </row>
    <row r="15" spans="2:23" ht="23.25" x14ac:dyDescent="0.25">
      <c r="B15" s="140" t="s">
        <v>120</v>
      </c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65"/>
      <c r="O15" s="10">
        <f>SUM(O7:O14)</f>
        <v>4</v>
      </c>
      <c r="P15" s="65">
        <f>SUM(P7:P14)</f>
        <v>32311035</v>
      </c>
      <c r="Q15" s="66">
        <f>SUM(Q7:Q13)</f>
        <v>15510893</v>
      </c>
      <c r="R15" s="101">
        <f>SUM(R7:R13)</f>
        <v>15510893</v>
      </c>
      <c r="S15" s="108"/>
      <c r="T15" s="108"/>
      <c r="U15" s="108"/>
      <c r="V15" s="108"/>
      <c r="W15" s="109"/>
    </row>
    <row r="16" spans="2:23" x14ac:dyDescent="0.25">
      <c r="B16" s="68"/>
      <c r="C16" s="68"/>
      <c r="D16" s="68"/>
      <c r="E16" s="68"/>
      <c r="F16" s="68"/>
      <c r="G16" s="69"/>
      <c r="H16" s="69"/>
      <c r="I16" s="70"/>
      <c r="J16" s="69"/>
      <c r="K16" s="69"/>
      <c r="L16" s="69"/>
      <c r="M16" s="69"/>
      <c r="N16" s="68"/>
      <c r="O16" s="68"/>
      <c r="P16" s="68"/>
      <c r="Q16" s="68"/>
      <c r="R16" s="68"/>
      <c r="S16" s="68"/>
      <c r="T16" s="68"/>
      <c r="U16" s="68"/>
      <c r="V16" s="68"/>
      <c r="W16" s="68"/>
    </row>
    <row r="17" spans="2:23" ht="25.5" x14ac:dyDescent="0.25">
      <c r="B17" s="68"/>
      <c r="C17" s="68"/>
      <c r="D17" s="68"/>
      <c r="E17" s="68"/>
      <c r="F17" s="68"/>
      <c r="H17" s="68"/>
      <c r="I17" s="71"/>
      <c r="J17" s="68"/>
      <c r="K17" s="68"/>
      <c r="L17" s="68"/>
      <c r="M17" s="72"/>
      <c r="N17" s="68"/>
      <c r="O17" s="68"/>
      <c r="P17" s="4"/>
      <c r="Q17" s="73" t="s">
        <v>121</v>
      </c>
      <c r="R17" s="73" t="s">
        <v>122</v>
      </c>
      <c r="S17" s="104"/>
      <c r="T17" s="104"/>
      <c r="U17" s="104"/>
      <c r="V17" s="104"/>
      <c r="W17" s="74"/>
    </row>
    <row r="18" spans="2:23" x14ac:dyDescent="0.25">
      <c r="B18" s="71"/>
      <c r="C18" s="71"/>
      <c r="D18" s="71"/>
      <c r="E18" s="71"/>
      <c r="F18" s="71"/>
      <c r="H18" s="75"/>
      <c r="I18" s="71"/>
      <c r="J18" s="71"/>
      <c r="K18" s="71"/>
      <c r="L18" s="71"/>
      <c r="M18" s="75"/>
      <c r="N18" s="68"/>
      <c r="O18" s="68"/>
      <c r="P18" s="76" t="s">
        <v>123</v>
      </c>
      <c r="Q18" s="77">
        <v>0.52410000000000001</v>
      </c>
      <c r="R18" s="77">
        <f>+Q18/11</f>
        <v>4.7645454545454546E-2</v>
      </c>
      <c r="S18" s="110"/>
      <c r="T18" s="110"/>
      <c r="U18" s="110"/>
      <c r="V18" s="110"/>
      <c r="W18" s="78"/>
    </row>
    <row r="19" spans="2:23" x14ac:dyDescent="0.25">
      <c r="B19" s="71"/>
      <c r="C19" s="71"/>
      <c r="D19" s="71"/>
      <c r="E19" s="71"/>
      <c r="F19" s="71"/>
      <c r="J19" s="71"/>
      <c r="K19" s="71"/>
      <c r="L19" s="71"/>
      <c r="O19" s="79"/>
      <c r="P19" s="76" t="s">
        <v>124</v>
      </c>
      <c r="Q19" s="80">
        <v>0.47589999999999999</v>
      </c>
      <c r="R19" s="80">
        <f>+Q19/13</f>
        <v>3.6607692307692306E-2</v>
      </c>
      <c r="S19" s="110"/>
      <c r="T19" s="110"/>
      <c r="U19" s="110"/>
      <c r="V19" s="110"/>
      <c r="W19" s="78"/>
    </row>
    <row r="20" spans="2:23" x14ac:dyDescent="0.25">
      <c r="B20" s="71"/>
      <c r="C20" s="71"/>
      <c r="D20" s="71"/>
      <c r="E20" s="71"/>
      <c r="F20" s="71"/>
      <c r="J20" s="71"/>
      <c r="K20" s="71"/>
      <c r="L20" s="71"/>
      <c r="N20" s="71"/>
      <c r="O20" s="68"/>
      <c r="P20" s="4"/>
      <c r="Q20" s="77">
        <f>+Q18+Q19</f>
        <v>1</v>
      </c>
      <c r="R20" s="82"/>
      <c r="S20" s="111"/>
      <c r="T20" s="111"/>
      <c r="U20" s="111"/>
      <c r="V20" s="111"/>
      <c r="W20" s="83"/>
    </row>
    <row r="21" spans="2:23" x14ac:dyDescent="0.25">
      <c r="B21" s="84"/>
      <c r="C21" s="84"/>
      <c r="D21" s="84"/>
      <c r="E21" s="84"/>
      <c r="F21" s="84"/>
      <c r="G21" s="84"/>
      <c r="H21" s="75"/>
      <c r="I21" s="84"/>
      <c r="J21" s="84"/>
      <c r="K21" s="84"/>
      <c r="L21" s="84"/>
      <c r="M21" s="75"/>
      <c r="N21" s="84"/>
      <c r="O21" s="84"/>
      <c r="P21" s="84"/>
      <c r="Q21" s="84"/>
      <c r="R21" s="84"/>
      <c r="S21" s="84"/>
      <c r="T21" s="84"/>
      <c r="U21" s="84"/>
      <c r="V21" s="84"/>
      <c r="W21" s="84"/>
    </row>
    <row r="22" spans="2:23" ht="15" customHeight="1" x14ac:dyDescent="0.25">
      <c r="B22" s="163" t="s">
        <v>125</v>
      </c>
      <c r="C22" s="164"/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50"/>
      <c r="T22" s="50"/>
      <c r="U22" s="50"/>
      <c r="V22" s="50"/>
      <c r="W22" s="2"/>
    </row>
    <row r="23" spans="2:23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2:23" ht="76.5" x14ac:dyDescent="0.25">
      <c r="B24" s="6" t="s">
        <v>0</v>
      </c>
      <c r="C24" s="7" t="s">
        <v>1</v>
      </c>
      <c r="D24" s="7" t="s">
        <v>2</v>
      </c>
      <c r="E24" s="7" t="s">
        <v>103</v>
      </c>
      <c r="F24" s="7" t="s">
        <v>104</v>
      </c>
      <c r="G24" s="6" t="s">
        <v>105</v>
      </c>
      <c r="H24" s="6" t="s">
        <v>106</v>
      </c>
      <c r="I24" s="6" t="s">
        <v>107</v>
      </c>
      <c r="J24" s="6" t="s">
        <v>108</v>
      </c>
      <c r="K24" s="6" t="s">
        <v>109</v>
      </c>
      <c r="L24" s="6" t="s">
        <v>110</v>
      </c>
      <c r="M24" s="6" t="s">
        <v>111</v>
      </c>
      <c r="N24" s="52" t="s">
        <v>112</v>
      </c>
      <c r="O24" s="7" t="s">
        <v>3</v>
      </c>
      <c r="P24" s="7" t="s">
        <v>113</v>
      </c>
      <c r="Q24" s="52" t="s">
        <v>114</v>
      </c>
      <c r="R24" s="52" t="s">
        <v>115</v>
      </c>
      <c r="S24" s="104"/>
      <c r="T24" s="104"/>
      <c r="U24" s="104"/>
      <c r="V24" s="104"/>
      <c r="W24" s="104"/>
    </row>
    <row r="25" spans="2:23" ht="30" x14ac:dyDescent="0.25">
      <c r="B25" s="1">
        <v>1</v>
      </c>
      <c r="C25" s="1" t="s">
        <v>4</v>
      </c>
      <c r="D25" s="8" t="s">
        <v>5</v>
      </c>
      <c r="E25" s="53">
        <f>1750905*9.85</f>
        <v>17246414.25</v>
      </c>
      <c r="F25" s="54">
        <v>6474</v>
      </c>
      <c r="G25" s="55">
        <f>E25+F25</f>
        <v>17252888.25</v>
      </c>
      <c r="H25" s="56">
        <v>0.1</v>
      </c>
      <c r="I25" s="56">
        <v>1</v>
      </c>
      <c r="J25" s="57">
        <v>24</v>
      </c>
      <c r="K25" s="57">
        <v>30</v>
      </c>
      <c r="L25" s="57">
        <v>24</v>
      </c>
      <c r="M25" s="53">
        <f>ROUND(((((G25*(1+H25))*I25/30))*30/24)*24,0)</f>
        <v>18978177</v>
      </c>
      <c r="N25" s="53">
        <f>ROUND(((M25*(1+1.9%))),0)</f>
        <v>19338762</v>
      </c>
      <c r="O25" s="9">
        <v>10</v>
      </c>
      <c r="P25" s="58">
        <f>ROUND((N25*O25)*1,0)</f>
        <v>193387620</v>
      </c>
      <c r="Q25" s="59">
        <f>ROUND((P25/30*14),0)</f>
        <v>90247556</v>
      </c>
      <c r="R25" s="59">
        <f>Q25</f>
        <v>90247556</v>
      </c>
      <c r="S25" s="105"/>
      <c r="T25" s="105"/>
      <c r="U25" s="105"/>
      <c r="V25" s="105"/>
      <c r="W25" s="105"/>
    </row>
    <row r="26" spans="2:23" ht="30" x14ac:dyDescent="0.25">
      <c r="B26" s="1">
        <v>2</v>
      </c>
      <c r="C26" s="1" t="s">
        <v>6</v>
      </c>
      <c r="D26" s="8" t="s">
        <v>7</v>
      </c>
      <c r="E26" s="53">
        <f>1750905*9.85</f>
        <v>17246414.25</v>
      </c>
      <c r="F26" s="54">
        <v>6474</v>
      </c>
      <c r="G26" s="55">
        <f>E26+F26</f>
        <v>17252888.25</v>
      </c>
      <c r="H26" s="56">
        <v>0.08</v>
      </c>
      <c r="I26" s="56">
        <v>1</v>
      </c>
      <c r="J26" s="57">
        <v>24</v>
      </c>
      <c r="K26" s="57">
        <v>30</v>
      </c>
      <c r="L26" s="57">
        <v>24</v>
      </c>
      <c r="M26" s="53">
        <f>ROUND(((((G26*(1+H26))*I26/30))*30/24)*24,0)</f>
        <v>18633119</v>
      </c>
      <c r="N26" s="53">
        <f>ROUND(((M26*(1+1.9%))),0)</f>
        <v>18987148</v>
      </c>
      <c r="O26" s="9">
        <v>11</v>
      </c>
      <c r="P26" s="58">
        <f>ROUND((N26*O26)*1,0)</f>
        <v>208858628</v>
      </c>
      <c r="Q26" s="59">
        <f>ROUND((P26/30*14),0)</f>
        <v>97467360</v>
      </c>
      <c r="R26" s="59">
        <f>Q26</f>
        <v>97467360</v>
      </c>
      <c r="S26" s="105"/>
      <c r="T26" s="105"/>
      <c r="U26" s="105"/>
      <c r="V26" s="105"/>
      <c r="W26" s="105"/>
    </row>
    <row r="27" spans="2:23" ht="30" x14ac:dyDescent="0.25">
      <c r="B27" s="1">
        <v>3</v>
      </c>
      <c r="C27" s="1" t="s">
        <v>8</v>
      </c>
      <c r="D27" s="8" t="s">
        <v>9</v>
      </c>
      <c r="E27" s="53">
        <f>1750905*9.85</f>
        <v>17246414.25</v>
      </c>
      <c r="F27" s="54">
        <v>4542</v>
      </c>
      <c r="G27" s="55">
        <f>E27+F27</f>
        <v>17250956.25</v>
      </c>
      <c r="H27" s="56">
        <v>0.08</v>
      </c>
      <c r="I27" s="60">
        <f>R37*12</f>
        <v>0.43929230769230765</v>
      </c>
      <c r="J27" s="57">
        <v>12</v>
      </c>
      <c r="K27" s="57">
        <v>30</v>
      </c>
      <c r="L27" s="57">
        <v>12</v>
      </c>
      <c r="M27" s="53">
        <f>ROUND(((((G27*(1+H27))*I27/30))*K27/L27)*J27,0)</f>
        <v>8184469</v>
      </c>
      <c r="N27" s="53">
        <f>ROUND(((M27*(1+1.9%))),0)</f>
        <v>8339974</v>
      </c>
      <c r="O27" s="9">
        <v>7</v>
      </c>
      <c r="P27" s="58">
        <f>ROUND((N27*O27)*1,0)</f>
        <v>58379818</v>
      </c>
      <c r="Q27" s="59">
        <f>ROUND((P27/30*14),0)</f>
        <v>27243915</v>
      </c>
      <c r="R27" s="59">
        <f>Q27</f>
        <v>27243915</v>
      </c>
      <c r="S27" s="105"/>
      <c r="T27" s="105"/>
      <c r="U27" s="105"/>
      <c r="V27" s="105"/>
      <c r="W27" s="105"/>
    </row>
    <row r="28" spans="2:23" ht="76.5" x14ac:dyDescent="0.25">
      <c r="B28" s="6" t="s">
        <v>0</v>
      </c>
      <c r="C28" s="7" t="s">
        <v>1</v>
      </c>
      <c r="D28" s="7" t="s">
        <v>2</v>
      </c>
      <c r="E28" s="7" t="s">
        <v>103</v>
      </c>
      <c r="F28" s="7" t="s">
        <v>104</v>
      </c>
      <c r="G28" s="6" t="s">
        <v>105</v>
      </c>
      <c r="H28" s="6" t="s">
        <v>106</v>
      </c>
      <c r="I28" s="6" t="s">
        <v>107</v>
      </c>
      <c r="J28" s="6" t="s">
        <v>108</v>
      </c>
      <c r="K28" s="6" t="s">
        <v>109</v>
      </c>
      <c r="L28" s="6" t="s">
        <v>110</v>
      </c>
      <c r="M28" s="6" t="s">
        <v>111</v>
      </c>
      <c r="N28" s="52" t="s">
        <v>112</v>
      </c>
      <c r="O28" s="7" t="s">
        <v>3</v>
      </c>
      <c r="P28" s="7" t="s">
        <v>116</v>
      </c>
      <c r="Q28" s="52" t="s">
        <v>126</v>
      </c>
      <c r="R28" s="52" t="s">
        <v>115</v>
      </c>
      <c r="S28" s="104"/>
      <c r="T28" s="104"/>
      <c r="U28" s="104"/>
      <c r="V28" s="104"/>
      <c r="W28" s="104"/>
    </row>
    <row r="29" spans="2:23" ht="30" x14ac:dyDescent="0.25">
      <c r="B29" s="1">
        <v>4</v>
      </c>
      <c r="C29" s="1" t="s">
        <v>10</v>
      </c>
      <c r="D29" s="8" t="s">
        <v>57</v>
      </c>
      <c r="E29" s="53">
        <f>1750905*9.85</f>
        <v>17246414.25</v>
      </c>
      <c r="F29" s="54">
        <v>3283</v>
      </c>
      <c r="G29" s="55">
        <f>E29+F29</f>
        <v>17249697.25</v>
      </c>
      <c r="H29" s="56">
        <v>0.1</v>
      </c>
      <c r="I29" s="60">
        <f>R37*12</f>
        <v>0.43929230769230765</v>
      </c>
      <c r="J29" s="57">
        <v>12</v>
      </c>
      <c r="K29" s="57">
        <v>20</v>
      </c>
      <c r="L29" s="57">
        <v>12</v>
      </c>
      <c r="M29" s="53">
        <f>ROUND(((((G29*(1+H29))*I29/30))*K29/L29)*J29,0)</f>
        <v>5556950</v>
      </c>
      <c r="N29" s="53">
        <f>ROUND(((M29*(1+1.9%))),0)</f>
        <v>5662532</v>
      </c>
      <c r="O29" s="9">
        <v>5</v>
      </c>
      <c r="P29" s="58">
        <f>ROUND((N29*O29)*1,0)</f>
        <v>28312660</v>
      </c>
      <c r="Q29" s="59">
        <f>ROUND((P29/20*10),0)</f>
        <v>14156330</v>
      </c>
      <c r="R29" s="59">
        <f>Q29</f>
        <v>14156330</v>
      </c>
      <c r="S29" s="105"/>
      <c r="T29" s="105"/>
      <c r="U29" s="105"/>
      <c r="V29" s="105"/>
      <c r="W29" s="105"/>
    </row>
    <row r="30" spans="2:23" ht="30" x14ac:dyDescent="0.25">
      <c r="B30" s="1">
        <v>5</v>
      </c>
      <c r="C30" s="1" t="s">
        <v>11</v>
      </c>
      <c r="D30" s="8" t="s">
        <v>118</v>
      </c>
      <c r="E30" s="53">
        <f>1750905*9.85</f>
        <v>17246414.25</v>
      </c>
      <c r="F30" s="54">
        <v>3285</v>
      </c>
      <c r="G30" s="55">
        <f>E30+F30</f>
        <v>17249699.25</v>
      </c>
      <c r="H30" s="56">
        <v>0.08</v>
      </c>
      <c r="I30" s="60">
        <f>+R37*12</f>
        <v>0.43929230769230765</v>
      </c>
      <c r="J30" s="57">
        <v>12</v>
      </c>
      <c r="K30" s="57">
        <v>20</v>
      </c>
      <c r="L30" s="57">
        <v>12</v>
      </c>
      <c r="M30" s="53">
        <f>ROUND(((((G30*(1+H30))*I30/30))*K30/L30)*J30,0)</f>
        <v>5455915</v>
      </c>
      <c r="N30" s="53">
        <f>ROUND(((M30*(1+1.9%))),0)</f>
        <v>5559577</v>
      </c>
      <c r="O30" s="9">
        <v>13</v>
      </c>
      <c r="P30" s="58">
        <f>ROUND((N30*O30)*1,0)</f>
        <v>72274501</v>
      </c>
      <c r="Q30" s="59">
        <f>ROUND((P30/20*10),0)</f>
        <v>36137251</v>
      </c>
      <c r="R30" s="59">
        <f>Q30</f>
        <v>36137251</v>
      </c>
      <c r="S30" s="105"/>
      <c r="T30" s="105"/>
      <c r="U30" s="105"/>
      <c r="V30" s="105"/>
      <c r="W30" s="105"/>
    </row>
    <row r="31" spans="2:23" ht="30" x14ac:dyDescent="0.25">
      <c r="B31" s="5">
        <v>6</v>
      </c>
      <c r="C31" s="5" t="s">
        <v>59</v>
      </c>
      <c r="D31" s="8" t="s">
        <v>119</v>
      </c>
      <c r="E31" s="53">
        <f>1750905*9.85</f>
        <v>17246414.25</v>
      </c>
      <c r="F31" s="54">
        <v>3110</v>
      </c>
      <c r="G31" s="55">
        <f>E31+F31</f>
        <v>17249524.25</v>
      </c>
      <c r="H31" s="56">
        <v>0.08</v>
      </c>
      <c r="I31" s="60">
        <f>R37*8</f>
        <v>0.29286153846153845</v>
      </c>
      <c r="J31" s="57">
        <v>8</v>
      </c>
      <c r="K31" s="57">
        <v>20</v>
      </c>
      <c r="L31" s="57">
        <v>8</v>
      </c>
      <c r="M31" s="53">
        <f>ROUND(((((G31*(1+H31))*I31/30))*K31/L31)*J31,0)</f>
        <v>3637240</v>
      </c>
      <c r="N31" s="53">
        <f>ROUND(((M31*(1+1.9%))),0)</f>
        <v>3706348</v>
      </c>
      <c r="O31" s="9">
        <v>7</v>
      </c>
      <c r="P31" s="58">
        <f>ROUND((N31*O31)*1,0)</f>
        <v>25944436</v>
      </c>
      <c r="Q31" s="59">
        <f>ROUND((P31/20*10),0)</f>
        <v>12972218</v>
      </c>
      <c r="R31" s="59">
        <f>Q31</f>
        <v>12972218</v>
      </c>
      <c r="S31" s="105"/>
      <c r="T31" s="105"/>
      <c r="U31" s="105"/>
      <c r="V31" s="105"/>
      <c r="W31" s="105"/>
    </row>
    <row r="32" spans="2:23" ht="23.25" x14ac:dyDescent="0.25">
      <c r="B32" s="4"/>
      <c r="C32" s="4"/>
      <c r="D32" s="4"/>
      <c r="E32" s="4"/>
      <c r="F32" s="4"/>
      <c r="G32" s="4"/>
      <c r="H32" s="4"/>
      <c r="I32" s="61"/>
      <c r="J32" s="4"/>
      <c r="K32" s="4"/>
      <c r="L32" s="4"/>
      <c r="M32" s="4"/>
      <c r="N32" s="4"/>
      <c r="O32" s="4"/>
      <c r="P32" s="62"/>
      <c r="Q32" s="63"/>
      <c r="R32" s="64"/>
      <c r="S32" s="106"/>
      <c r="T32" s="106"/>
      <c r="U32" s="106"/>
      <c r="V32" s="106"/>
      <c r="W32" s="107"/>
    </row>
    <row r="33" spans="2:23" ht="23.25" customHeight="1" x14ac:dyDescent="0.25">
      <c r="B33" s="140" t="s">
        <v>127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65"/>
      <c r="O33" s="10">
        <f>SUM(O25:O32)</f>
        <v>53</v>
      </c>
      <c r="P33" s="65">
        <f>SUM(P25:P31)</f>
        <v>587157663</v>
      </c>
      <c r="Q33" s="66">
        <f>SUM(Q25:Q31)</f>
        <v>278224630</v>
      </c>
      <c r="R33" s="101">
        <f>SUM(R25:R31)</f>
        <v>278224630</v>
      </c>
      <c r="S33" s="108"/>
      <c r="T33" s="108"/>
      <c r="U33" s="108"/>
      <c r="V33" s="108"/>
      <c r="W33" s="109"/>
    </row>
    <row r="34" spans="2:23" x14ac:dyDescent="0.25">
      <c r="B34" s="85"/>
      <c r="C34" s="68"/>
      <c r="D34" s="68"/>
      <c r="E34" s="68"/>
      <c r="F34" s="68"/>
      <c r="G34" s="69"/>
      <c r="H34" s="69"/>
      <c r="I34" s="70"/>
      <c r="J34" s="69"/>
      <c r="K34" s="69"/>
      <c r="L34" s="69"/>
      <c r="M34" s="69"/>
      <c r="N34" s="68"/>
      <c r="O34" s="68"/>
      <c r="P34" s="68"/>
      <c r="Q34" s="68"/>
      <c r="R34" s="68"/>
      <c r="S34" s="68"/>
      <c r="T34" s="68"/>
      <c r="U34" s="68"/>
      <c r="V34" s="68"/>
      <c r="W34" s="68"/>
    </row>
    <row r="35" spans="2:23" ht="25.5" x14ac:dyDescent="0.25">
      <c r="B35" s="68"/>
      <c r="C35" s="68"/>
      <c r="D35" s="68"/>
      <c r="E35" s="68"/>
      <c r="F35" s="86"/>
      <c r="G35" s="69"/>
      <c r="H35" s="68"/>
      <c r="I35" s="71"/>
      <c r="J35" s="68"/>
      <c r="K35" s="68"/>
      <c r="L35" s="68"/>
      <c r="M35" s="68"/>
      <c r="N35" s="68"/>
      <c r="O35" s="68"/>
      <c r="P35" s="4"/>
      <c r="Q35" s="73" t="s">
        <v>121</v>
      </c>
      <c r="R35" s="73" t="s">
        <v>122</v>
      </c>
      <c r="S35" s="104"/>
      <c r="T35" s="104"/>
      <c r="U35" s="104"/>
      <c r="V35" s="104"/>
      <c r="W35" s="74"/>
    </row>
    <row r="36" spans="2:23" x14ac:dyDescent="0.25">
      <c r="B36" s="87"/>
      <c r="C36" s="87"/>
      <c r="D36" s="68"/>
      <c r="E36" s="88"/>
      <c r="F36" s="68"/>
      <c r="G36" s="69"/>
      <c r="H36" s="68"/>
      <c r="I36" s="71"/>
      <c r="J36" s="68"/>
      <c r="K36" s="68"/>
      <c r="L36" s="68"/>
      <c r="M36" s="68"/>
      <c r="N36" s="68"/>
      <c r="O36" s="68"/>
      <c r="P36" s="76" t="s">
        <v>123</v>
      </c>
      <c r="Q36" s="77">
        <v>0.52410000000000001</v>
      </c>
      <c r="R36" s="77">
        <f>+Q36/11</f>
        <v>4.7645454545454546E-2</v>
      </c>
      <c r="S36" s="110"/>
      <c r="T36" s="110"/>
      <c r="U36" s="110"/>
      <c r="V36" s="110"/>
      <c r="W36" s="78"/>
    </row>
    <row r="37" spans="2:23" x14ac:dyDescent="0.25">
      <c r="B37" s="68"/>
      <c r="C37" s="68"/>
      <c r="D37" s="68"/>
      <c r="E37" s="89"/>
      <c r="F37" s="68"/>
      <c r="G37" s="69"/>
      <c r="H37" s="90"/>
      <c r="I37" s="90"/>
      <c r="J37" s="90"/>
      <c r="K37" s="79"/>
      <c r="L37" s="79"/>
      <c r="M37" s="79"/>
      <c r="N37" s="79"/>
      <c r="O37" s="79"/>
      <c r="P37" s="76" t="s">
        <v>124</v>
      </c>
      <c r="Q37" s="80">
        <v>0.47589999999999999</v>
      </c>
      <c r="R37" s="80">
        <f>+Q37/13</f>
        <v>3.6607692307692306E-2</v>
      </c>
      <c r="S37" s="112"/>
      <c r="T37" s="112"/>
      <c r="U37" s="112"/>
      <c r="V37" s="112"/>
      <c r="W37" s="81"/>
    </row>
    <row r="38" spans="2:23" ht="21" x14ac:dyDescent="0.25">
      <c r="B38" s="91"/>
      <c r="C38" s="91"/>
      <c r="D38" s="92"/>
      <c r="E38" s="91"/>
      <c r="F38" s="91"/>
      <c r="G38" s="91"/>
      <c r="H38" s="49"/>
      <c r="I38" s="49"/>
      <c r="J38" s="49"/>
      <c r="K38" s="49"/>
      <c r="L38" s="49"/>
      <c r="M38" s="49"/>
      <c r="N38" s="49"/>
      <c r="O38" s="49"/>
      <c r="P38" s="2"/>
      <c r="Q38" s="77">
        <f>+Q36+Q37</f>
        <v>1</v>
      </c>
      <c r="R38" s="82"/>
      <c r="S38" s="111"/>
      <c r="T38" s="111"/>
      <c r="U38" s="111"/>
      <c r="V38" s="111"/>
      <c r="W38" s="83"/>
    </row>
    <row r="39" spans="2:23" x14ac:dyDescent="0.25">
      <c r="D39" s="93"/>
      <c r="P39" s="49"/>
      <c r="Q39" s="49"/>
      <c r="R39" s="49"/>
      <c r="S39" s="49"/>
      <c r="T39" s="49"/>
      <c r="U39" s="49"/>
      <c r="V39" s="49"/>
      <c r="W39" s="49"/>
    </row>
    <row r="40" spans="2:23" x14ac:dyDescent="0.25">
      <c r="B40" s="155" t="s">
        <v>128</v>
      </c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7"/>
    </row>
    <row r="41" spans="2:23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2:23" ht="84.75" customHeight="1" x14ac:dyDescent="0.25">
      <c r="B42" s="94" t="s">
        <v>0</v>
      </c>
      <c r="C42" s="95" t="s">
        <v>1</v>
      </c>
      <c r="D42" s="95" t="s">
        <v>2</v>
      </c>
      <c r="E42" s="95" t="s">
        <v>129</v>
      </c>
      <c r="F42" s="95" t="s">
        <v>104</v>
      </c>
      <c r="G42" s="94" t="s">
        <v>105</v>
      </c>
      <c r="H42" s="94" t="s">
        <v>106</v>
      </c>
      <c r="I42" s="94" t="s">
        <v>107</v>
      </c>
      <c r="J42" s="94" t="s">
        <v>108</v>
      </c>
      <c r="K42" s="94" t="s">
        <v>109</v>
      </c>
      <c r="L42" s="94" t="s">
        <v>110</v>
      </c>
      <c r="M42" s="94" t="s">
        <v>111</v>
      </c>
      <c r="N42" s="96" t="s">
        <v>112</v>
      </c>
      <c r="O42" s="95" t="s">
        <v>3</v>
      </c>
      <c r="P42" s="95" t="s">
        <v>113</v>
      </c>
      <c r="Q42" s="96" t="s">
        <v>130</v>
      </c>
      <c r="R42" s="96" t="s">
        <v>141</v>
      </c>
      <c r="S42" s="96" t="s">
        <v>142</v>
      </c>
      <c r="T42" s="96" t="s">
        <v>143</v>
      </c>
      <c r="U42" s="96" t="s">
        <v>144</v>
      </c>
      <c r="V42" s="96" t="s">
        <v>145</v>
      </c>
      <c r="W42" s="96" t="s">
        <v>131</v>
      </c>
    </row>
    <row r="43" spans="2:23" ht="30" x14ac:dyDescent="0.25">
      <c r="B43" s="1">
        <v>1</v>
      </c>
      <c r="C43" s="1" t="s">
        <v>4</v>
      </c>
      <c r="D43" s="8" t="s">
        <v>5</v>
      </c>
      <c r="E43" s="53">
        <f>1750905*10.21</f>
        <v>17876740.050000001</v>
      </c>
      <c r="F43" s="54">
        <v>6474</v>
      </c>
      <c r="G43" s="55">
        <f>E43+F43</f>
        <v>17883214.050000001</v>
      </c>
      <c r="H43" s="56">
        <v>0.1</v>
      </c>
      <c r="I43" s="56">
        <v>1</v>
      </c>
      <c r="J43" s="57">
        <v>24</v>
      </c>
      <c r="K43" s="57">
        <v>30</v>
      </c>
      <c r="L43" s="57">
        <v>24</v>
      </c>
      <c r="M43" s="53">
        <f>ROUND(((((G43*(1+H43))*I43/30))*30/24)*24,0)</f>
        <v>19671535</v>
      </c>
      <c r="N43" s="53">
        <f>ROUND(((M43*(1+1.9%))),0)</f>
        <v>20045294</v>
      </c>
      <c r="O43" s="9">
        <v>1</v>
      </c>
      <c r="P43" s="58">
        <f>ROUND((N43*O43)*1,0)</f>
        <v>20045294</v>
      </c>
      <c r="Q43" s="59">
        <f>ROUND((P43/30*16),0)</f>
        <v>10690823</v>
      </c>
      <c r="R43" s="113">
        <f>P43</f>
        <v>20045294</v>
      </c>
      <c r="S43" s="113">
        <f>P43</f>
        <v>20045294</v>
      </c>
      <c r="T43" s="113">
        <f>P43</f>
        <v>20045294</v>
      </c>
      <c r="U43" s="113">
        <f>P43</f>
        <v>20045294</v>
      </c>
      <c r="V43" s="113">
        <f>P43</f>
        <v>20045294</v>
      </c>
      <c r="W43" s="59">
        <f>SUM(Q43:V43)</f>
        <v>110917293</v>
      </c>
    </row>
    <row r="44" spans="2:23" ht="30" x14ac:dyDescent="0.25">
      <c r="B44" s="1">
        <v>2</v>
      </c>
      <c r="C44" s="1" t="s">
        <v>6</v>
      </c>
      <c r="D44" s="8" t="s">
        <v>7</v>
      </c>
      <c r="E44" s="53">
        <f>1750905*10.21</f>
        <v>17876740.050000001</v>
      </c>
      <c r="F44" s="54">
        <v>6474</v>
      </c>
      <c r="G44" s="55">
        <f>E44+F44</f>
        <v>17883214.050000001</v>
      </c>
      <c r="H44" s="56">
        <v>0.08</v>
      </c>
      <c r="I44" s="56">
        <v>1</v>
      </c>
      <c r="J44" s="57">
        <v>24</v>
      </c>
      <c r="K44" s="57">
        <v>30</v>
      </c>
      <c r="L44" s="57">
        <v>24</v>
      </c>
      <c r="M44" s="53">
        <f>ROUND(((((G44*(1+H44))*I44/30))*30/24)*24,0)</f>
        <v>19313871</v>
      </c>
      <c r="N44" s="53">
        <f>ROUND(((M44*(1+1.9%))),0)</f>
        <v>19680835</v>
      </c>
      <c r="O44" s="9">
        <v>0</v>
      </c>
      <c r="P44" s="58">
        <f>ROUND((N44*O44)*1,0)</f>
        <v>0</v>
      </c>
      <c r="Q44" s="59">
        <f t="shared" ref="Q44:Q45" si="0">ROUND((P44/30*16),0)</f>
        <v>0</v>
      </c>
      <c r="R44" s="113">
        <f>P44</f>
        <v>0</v>
      </c>
      <c r="S44" s="113">
        <f>P44</f>
        <v>0</v>
      </c>
      <c r="T44" s="113">
        <f>P44</f>
        <v>0</v>
      </c>
      <c r="U44" s="113">
        <f t="shared" ref="U44:U45" si="1">P44</f>
        <v>0</v>
      </c>
      <c r="V44" s="113">
        <f t="shared" ref="V44:V45" si="2">P44</f>
        <v>0</v>
      </c>
      <c r="W44" s="59">
        <f>SUM(Q44:V44)</f>
        <v>0</v>
      </c>
    </row>
    <row r="45" spans="2:23" ht="30" x14ac:dyDescent="0.25">
      <c r="B45" s="1">
        <v>3</v>
      </c>
      <c r="C45" s="1" t="s">
        <v>8</v>
      </c>
      <c r="D45" s="8" t="s">
        <v>9</v>
      </c>
      <c r="E45" s="53">
        <f>1750905*10.21</f>
        <v>17876740.050000001</v>
      </c>
      <c r="F45" s="54">
        <v>4542</v>
      </c>
      <c r="G45" s="55">
        <f>E45+F45</f>
        <v>17881282.050000001</v>
      </c>
      <c r="H45" s="56">
        <v>0.08</v>
      </c>
      <c r="I45" s="60">
        <f>R55*12</f>
        <v>0.43929230769230765</v>
      </c>
      <c r="J45" s="57">
        <v>12</v>
      </c>
      <c r="K45" s="57">
        <v>30</v>
      </c>
      <c r="L45" s="57">
        <v>12</v>
      </c>
      <c r="M45" s="53">
        <f>ROUND(((((G45*(1+H45))*I45/30))*K45/L45)*J45,0)</f>
        <v>8483518</v>
      </c>
      <c r="N45" s="53">
        <f>ROUND(((M45*(1+1.9%))),0)</f>
        <v>8644705</v>
      </c>
      <c r="O45" s="9">
        <v>0</v>
      </c>
      <c r="P45" s="58">
        <f>ROUND((N45*O45)*1,0)</f>
        <v>0</v>
      </c>
      <c r="Q45" s="59">
        <f t="shared" si="0"/>
        <v>0</v>
      </c>
      <c r="R45" s="113">
        <f>P45</f>
        <v>0</v>
      </c>
      <c r="S45" s="113">
        <f>P45</f>
        <v>0</v>
      </c>
      <c r="T45" s="113">
        <f>P45</f>
        <v>0</v>
      </c>
      <c r="U45" s="113">
        <f t="shared" si="1"/>
        <v>0</v>
      </c>
      <c r="V45" s="113">
        <f t="shared" si="2"/>
        <v>0</v>
      </c>
      <c r="W45" s="59">
        <f>SUM(Q45:V45)</f>
        <v>0</v>
      </c>
    </row>
    <row r="46" spans="2:23" ht="79.5" customHeight="1" x14ac:dyDescent="0.25">
      <c r="B46" s="94" t="s">
        <v>0</v>
      </c>
      <c r="C46" s="95" t="s">
        <v>1</v>
      </c>
      <c r="D46" s="95" t="s">
        <v>2</v>
      </c>
      <c r="E46" s="95" t="s">
        <v>129</v>
      </c>
      <c r="F46" s="95" t="s">
        <v>104</v>
      </c>
      <c r="G46" s="94" t="s">
        <v>105</v>
      </c>
      <c r="H46" s="94" t="s">
        <v>106</v>
      </c>
      <c r="I46" s="94" t="s">
        <v>107</v>
      </c>
      <c r="J46" s="94" t="s">
        <v>108</v>
      </c>
      <c r="K46" s="94" t="s">
        <v>109</v>
      </c>
      <c r="L46" s="94" t="s">
        <v>110</v>
      </c>
      <c r="M46" s="94" t="s">
        <v>111</v>
      </c>
      <c r="N46" s="96" t="s">
        <v>112</v>
      </c>
      <c r="O46" s="95" t="s">
        <v>3</v>
      </c>
      <c r="P46" s="95" t="s">
        <v>116</v>
      </c>
      <c r="Q46" s="96" t="s">
        <v>132</v>
      </c>
      <c r="R46" s="96" t="s">
        <v>146</v>
      </c>
      <c r="S46" s="96" t="s">
        <v>147</v>
      </c>
      <c r="T46" s="96" t="s">
        <v>148</v>
      </c>
      <c r="U46" s="96" t="s">
        <v>149</v>
      </c>
      <c r="V46" s="96" t="s">
        <v>150</v>
      </c>
      <c r="W46" s="96" t="s">
        <v>131</v>
      </c>
    </row>
    <row r="47" spans="2:23" ht="30" x14ac:dyDescent="0.25">
      <c r="B47" s="1">
        <v>4</v>
      </c>
      <c r="C47" s="1" t="s">
        <v>10</v>
      </c>
      <c r="D47" s="8" t="s">
        <v>57</v>
      </c>
      <c r="E47" s="53">
        <f>1750905*10.21</f>
        <v>17876740.050000001</v>
      </c>
      <c r="F47" s="54">
        <v>3283</v>
      </c>
      <c r="G47" s="55">
        <f>E47+F47</f>
        <v>17880023.050000001</v>
      </c>
      <c r="H47" s="56">
        <v>0.1</v>
      </c>
      <c r="I47" s="60">
        <f>R55*12</f>
        <v>0.43929230769230765</v>
      </c>
      <c r="J47" s="57">
        <v>12</v>
      </c>
      <c r="K47" s="57">
        <v>20</v>
      </c>
      <c r="L47" s="57">
        <v>12</v>
      </c>
      <c r="M47" s="53">
        <f>ROUND(((((G47*(1+H47))*I47/30))*K47/L47)*J47,0)</f>
        <v>5760008</v>
      </c>
      <c r="N47" s="53">
        <f>ROUND(((M47*(1+1.9%))),0)</f>
        <v>5869448</v>
      </c>
      <c r="O47" s="9">
        <v>0</v>
      </c>
      <c r="P47" s="58">
        <f>ROUND((N47*O47)*1,0)</f>
        <v>0</v>
      </c>
      <c r="Q47" s="59">
        <f>ROUND((P47/20*12),0)</f>
        <v>0</v>
      </c>
      <c r="R47" s="113">
        <f>P47/20*18</f>
        <v>0</v>
      </c>
      <c r="S47" s="113">
        <f>P47/20*22</f>
        <v>0</v>
      </c>
      <c r="T47" s="113">
        <f>P47/20*21</f>
        <v>0</v>
      </c>
      <c r="U47" s="113">
        <f>P47/20*19</f>
        <v>0</v>
      </c>
      <c r="V47" s="113">
        <f>P47/20*21</f>
        <v>0</v>
      </c>
      <c r="W47" s="59">
        <f>SUM(Q47:V47)</f>
        <v>0</v>
      </c>
    </row>
    <row r="48" spans="2:23" ht="30" x14ac:dyDescent="0.25">
      <c r="B48" s="1">
        <v>5</v>
      </c>
      <c r="C48" s="1" t="s">
        <v>11</v>
      </c>
      <c r="D48" s="8" t="s">
        <v>118</v>
      </c>
      <c r="E48" s="53">
        <f>1750905*10.21</f>
        <v>17876740.050000001</v>
      </c>
      <c r="F48" s="54">
        <v>3285</v>
      </c>
      <c r="G48" s="55">
        <f>E48+F48</f>
        <v>17880025.050000001</v>
      </c>
      <c r="H48" s="56">
        <v>0.08</v>
      </c>
      <c r="I48" s="60">
        <f>R55*12</f>
        <v>0.43929230769230765</v>
      </c>
      <c r="J48" s="57">
        <v>12</v>
      </c>
      <c r="K48" s="57">
        <v>20</v>
      </c>
      <c r="L48" s="57">
        <v>12</v>
      </c>
      <c r="M48" s="53">
        <f>ROUND(((((G48*(1+H48))*I48/30))*K48/L48)*J48,0)</f>
        <v>5655281</v>
      </c>
      <c r="N48" s="53">
        <f>ROUND(((M48*(1+1.9%))),0)</f>
        <v>5762731</v>
      </c>
      <c r="O48" s="9">
        <v>1</v>
      </c>
      <c r="P48" s="58">
        <f>ROUND((N48*O48)*1,0)</f>
        <v>5762731</v>
      </c>
      <c r="Q48" s="59">
        <f>ROUND((P48/20*12),0)</f>
        <v>3457639</v>
      </c>
      <c r="R48" s="58">
        <f>ROUND((P48/20*18),0)</f>
        <v>5186458</v>
      </c>
      <c r="S48" s="113">
        <f>ROUND((P48/20*22),0)</f>
        <v>6339004</v>
      </c>
      <c r="T48" s="113">
        <f>ROUND((P48/20*21),0)</f>
        <v>6050868</v>
      </c>
      <c r="U48" s="113">
        <f>ROUND((P48/20*19),0)</f>
        <v>5474594</v>
      </c>
      <c r="V48" s="113">
        <f>ROUND((P48/20*21),0)</f>
        <v>6050868</v>
      </c>
      <c r="W48" s="59">
        <f>SUM(Q48:V48)</f>
        <v>32559431</v>
      </c>
    </row>
    <row r="49" spans="2:23" ht="30" x14ac:dyDescent="0.25">
      <c r="B49" s="1">
        <v>6</v>
      </c>
      <c r="C49" s="1" t="s">
        <v>59</v>
      </c>
      <c r="D49" s="8" t="s">
        <v>119</v>
      </c>
      <c r="E49" s="53">
        <f>1750905*10.21</f>
        <v>17876740.050000001</v>
      </c>
      <c r="F49" s="54">
        <v>3110</v>
      </c>
      <c r="G49" s="55">
        <f>E49+F49</f>
        <v>17879850.050000001</v>
      </c>
      <c r="H49" s="56">
        <v>0.08</v>
      </c>
      <c r="I49" s="60">
        <f>R55*8</f>
        <v>0.29286153846153845</v>
      </c>
      <c r="J49" s="57">
        <v>8</v>
      </c>
      <c r="K49" s="57">
        <v>20</v>
      </c>
      <c r="L49" s="57">
        <v>8</v>
      </c>
      <c r="M49" s="53">
        <f>ROUND(((((G49*(1+H49))*I49/30))*K49/L49)*J49,0)</f>
        <v>3770151</v>
      </c>
      <c r="N49" s="53">
        <f>ROUND(((M49*(1+1.9%))),0)</f>
        <v>3841784</v>
      </c>
      <c r="O49" s="9">
        <v>2</v>
      </c>
      <c r="P49" s="58">
        <f>ROUND((N49*O49)*1,0)</f>
        <v>7683568</v>
      </c>
      <c r="Q49" s="59">
        <f>ROUND((P49/20*12),0)</f>
        <v>4610141</v>
      </c>
      <c r="R49" s="58">
        <f>P49/20*18</f>
        <v>6915211.2000000002</v>
      </c>
      <c r="S49" s="113">
        <f>P49/20*22</f>
        <v>8451924.8000000007</v>
      </c>
      <c r="T49" s="113">
        <f>ROUND((P49/20*21),0)</f>
        <v>8067746</v>
      </c>
      <c r="U49" s="113">
        <f>ROUND((P49/20*19),0)</f>
        <v>7299390</v>
      </c>
      <c r="V49" s="113">
        <f>ROUND((P49/20*21),0)</f>
        <v>8067746</v>
      </c>
      <c r="W49" s="59">
        <f>SUM(Q49:V49)</f>
        <v>43412159</v>
      </c>
    </row>
    <row r="50" spans="2:23" ht="23.25" x14ac:dyDescent="0.25">
      <c r="B50" s="4"/>
      <c r="C50" s="4"/>
      <c r="D50" s="4"/>
      <c r="E50" s="4"/>
      <c r="F50" s="4"/>
      <c r="G50" s="4"/>
      <c r="H50" s="4"/>
      <c r="I50" s="61"/>
      <c r="J50" s="4"/>
      <c r="K50" s="4"/>
      <c r="L50" s="4"/>
      <c r="M50" s="4"/>
      <c r="N50" s="4"/>
      <c r="O50" s="4"/>
      <c r="P50" s="62"/>
      <c r="Q50" s="63"/>
      <c r="R50" s="114"/>
      <c r="S50" s="115"/>
      <c r="T50" s="115"/>
      <c r="U50" s="115"/>
      <c r="V50" s="115"/>
      <c r="W50" s="64"/>
    </row>
    <row r="51" spans="2:23" ht="23.25" x14ac:dyDescent="0.25">
      <c r="B51" s="152" t="s">
        <v>133</v>
      </c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4"/>
      <c r="O51" s="97">
        <f>SUM(O43:O50)</f>
        <v>4</v>
      </c>
      <c r="P51" s="98">
        <f>SUM(P43:P50)</f>
        <v>33491593</v>
      </c>
      <c r="Q51" s="99">
        <f>SUM(Q43:Q49)</f>
        <v>18758603</v>
      </c>
      <c r="R51" s="100">
        <f>SUM(R43:R50)</f>
        <v>32146963.199999999</v>
      </c>
      <c r="S51" s="100">
        <f t="shared" ref="S51:V51" si="3">SUM(S43:S50)</f>
        <v>34836222.799999997</v>
      </c>
      <c r="T51" s="100">
        <f t="shared" si="3"/>
        <v>34163908</v>
      </c>
      <c r="U51" s="100">
        <f t="shared" si="3"/>
        <v>32819278</v>
      </c>
      <c r="V51" s="100">
        <f t="shared" si="3"/>
        <v>34163908</v>
      </c>
      <c r="W51" s="101">
        <f>SUM(W43:W49)</f>
        <v>186888883</v>
      </c>
    </row>
    <row r="52" spans="2:23" x14ac:dyDescent="0.25">
      <c r="B52" s="68"/>
      <c r="C52" s="68"/>
      <c r="D52" s="68"/>
      <c r="E52" s="68"/>
      <c r="F52" s="68"/>
      <c r="G52" s="69"/>
      <c r="H52" s="69"/>
      <c r="I52" s="70"/>
      <c r="J52" s="69"/>
      <c r="K52" s="69"/>
      <c r="L52" s="69"/>
      <c r="M52" s="69"/>
      <c r="N52" s="68"/>
      <c r="O52" s="68"/>
      <c r="P52" s="68"/>
      <c r="Q52" s="68"/>
      <c r="R52" s="68"/>
      <c r="S52" s="68"/>
      <c r="T52" s="68"/>
      <c r="U52" s="68"/>
      <c r="V52" s="68"/>
      <c r="W52" s="68"/>
    </row>
    <row r="53" spans="2:23" ht="25.5" x14ac:dyDescent="0.25">
      <c r="B53" s="68"/>
      <c r="C53" s="68"/>
      <c r="D53" s="68"/>
      <c r="E53" s="68"/>
      <c r="F53" s="68"/>
      <c r="H53" s="68"/>
      <c r="I53" s="71"/>
      <c r="J53" s="68"/>
      <c r="K53" s="68"/>
      <c r="L53" s="68"/>
      <c r="M53" s="72"/>
      <c r="N53" s="68"/>
      <c r="O53" s="68"/>
      <c r="P53" s="4"/>
      <c r="Q53" s="73" t="s">
        <v>121</v>
      </c>
      <c r="R53" s="73" t="s">
        <v>122</v>
      </c>
      <c r="S53" s="104"/>
      <c r="T53" s="104"/>
      <c r="U53" s="104"/>
      <c r="V53" s="104"/>
      <c r="W53" s="74"/>
    </row>
    <row r="54" spans="2:23" x14ac:dyDescent="0.25">
      <c r="B54" s="71"/>
      <c r="C54" s="71"/>
      <c r="D54" s="71"/>
      <c r="E54" s="71"/>
      <c r="F54" s="71"/>
      <c r="H54" s="75"/>
      <c r="I54" s="71"/>
      <c r="J54" s="71"/>
      <c r="K54" s="71"/>
      <c r="L54" s="71"/>
      <c r="M54" s="75"/>
      <c r="N54" s="68"/>
      <c r="O54" s="68"/>
      <c r="P54" s="76" t="s">
        <v>123</v>
      </c>
      <c r="Q54" s="77">
        <v>0.52410000000000001</v>
      </c>
      <c r="R54" s="77">
        <f>+Q54/11</f>
        <v>4.7645454545454546E-2</v>
      </c>
      <c r="S54" s="110"/>
      <c r="T54" s="110"/>
      <c r="U54" s="110"/>
      <c r="V54" s="110"/>
      <c r="W54" s="78"/>
    </row>
    <row r="55" spans="2:23" x14ac:dyDescent="0.25">
      <c r="B55" s="71"/>
      <c r="C55" s="71"/>
      <c r="D55" s="71"/>
      <c r="E55" s="71"/>
      <c r="F55" s="71"/>
      <c r="J55" s="71"/>
      <c r="K55" s="71"/>
      <c r="L55" s="71"/>
      <c r="O55" s="79"/>
      <c r="P55" s="76" t="s">
        <v>124</v>
      </c>
      <c r="Q55" s="80">
        <v>0.47589999999999999</v>
      </c>
      <c r="R55" s="80">
        <f>+Q55/13</f>
        <v>3.6607692307692306E-2</v>
      </c>
      <c r="S55" s="112"/>
      <c r="T55" s="112"/>
      <c r="U55" s="112"/>
      <c r="V55" s="112"/>
      <c r="W55" s="81"/>
    </row>
    <row r="56" spans="2:23" x14ac:dyDescent="0.25">
      <c r="B56" s="71"/>
      <c r="C56" s="71"/>
      <c r="D56" s="71"/>
      <c r="E56" s="71"/>
      <c r="F56" s="71"/>
      <c r="J56" s="71"/>
      <c r="K56" s="71"/>
      <c r="L56" s="71"/>
      <c r="N56" s="71"/>
      <c r="O56" s="68"/>
      <c r="P56" s="4"/>
      <c r="Q56" s="77">
        <f>+Q54+Q55</f>
        <v>1</v>
      </c>
      <c r="R56" s="82"/>
      <c r="S56" s="111"/>
      <c r="T56" s="111"/>
      <c r="U56" s="111"/>
      <c r="V56" s="111"/>
      <c r="W56" s="83"/>
    </row>
    <row r="57" spans="2:23" x14ac:dyDescent="0.25">
      <c r="B57" s="84"/>
      <c r="C57" s="84"/>
      <c r="D57" s="84"/>
      <c r="E57" s="84"/>
      <c r="F57" s="84"/>
      <c r="G57" s="84"/>
      <c r="H57" s="75"/>
      <c r="I57" s="84"/>
      <c r="J57" s="84"/>
      <c r="K57" s="84"/>
      <c r="L57" s="84"/>
      <c r="M57" s="75"/>
      <c r="N57" s="84"/>
      <c r="O57" s="84"/>
      <c r="P57" s="84"/>
      <c r="Q57" s="84"/>
      <c r="R57" s="84"/>
      <c r="S57" s="84"/>
      <c r="T57" s="84"/>
      <c r="U57" s="84"/>
      <c r="V57" s="84"/>
      <c r="W57" s="84"/>
    </row>
    <row r="58" spans="2:23" ht="15" customHeight="1" x14ac:dyDescent="0.25">
      <c r="B58" s="155" t="s">
        <v>134</v>
      </c>
      <c r="C58" s="156"/>
      <c r="D58" s="15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7"/>
    </row>
    <row r="59" spans="2:23" x14ac:dyDescent="0.2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2:23" ht="76.5" x14ac:dyDescent="0.25">
      <c r="B60" s="94" t="s">
        <v>0</v>
      </c>
      <c r="C60" s="95" t="s">
        <v>1</v>
      </c>
      <c r="D60" s="95" t="s">
        <v>2</v>
      </c>
      <c r="E60" s="95" t="s">
        <v>129</v>
      </c>
      <c r="F60" s="95" t="s">
        <v>104</v>
      </c>
      <c r="G60" s="94" t="s">
        <v>105</v>
      </c>
      <c r="H60" s="94" t="s">
        <v>106</v>
      </c>
      <c r="I60" s="94" t="s">
        <v>107</v>
      </c>
      <c r="J60" s="94" t="s">
        <v>108</v>
      </c>
      <c r="K60" s="94" t="s">
        <v>109</v>
      </c>
      <c r="L60" s="94" t="s">
        <v>110</v>
      </c>
      <c r="M60" s="94" t="s">
        <v>111</v>
      </c>
      <c r="N60" s="96" t="s">
        <v>112</v>
      </c>
      <c r="O60" s="95" t="s">
        <v>3</v>
      </c>
      <c r="P60" s="95" t="s">
        <v>113</v>
      </c>
      <c r="Q60" s="96" t="s">
        <v>130</v>
      </c>
      <c r="R60" s="96" t="s">
        <v>141</v>
      </c>
      <c r="S60" s="96" t="s">
        <v>142</v>
      </c>
      <c r="T60" s="96" t="s">
        <v>143</v>
      </c>
      <c r="U60" s="96" t="s">
        <v>144</v>
      </c>
      <c r="V60" s="96" t="s">
        <v>145</v>
      </c>
      <c r="W60" s="96" t="s">
        <v>131</v>
      </c>
    </row>
    <row r="61" spans="2:23" ht="30" x14ac:dyDescent="0.25">
      <c r="B61" s="1">
        <v>1</v>
      </c>
      <c r="C61" s="1" t="s">
        <v>4</v>
      </c>
      <c r="D61" s="8" t="s">
        <v>5</v>
      </c>
      <c r="E61" s="53">
        <f>1750905*10.21</f>
        <v>17876740.050000001</v>
      </c>
      <c r="F61" s="54">
        <v>6474</v>
      </c>
      <c r="G61" s="55">
        <f>E61+F61</f>
        <v>17883214.050000001</v>
      </c>
      <c r="H61" s="56">
        <v>0.1</v>
      </c>
      <c r="I61" s="56">
        <v>1</v>
      </c>
      <c r="J61" s="57">
        <v>24</v>
      </c>
      <c r="K61" s="57">
        <v>30</v>
      </c>
      <c r="L61" s="57">
        <v>24</v>
      </c>
      <c r="M61" s="53">
        <f>ROUND(((((G61*(1+H61))*I61/30))*30/24)*24,0)</f>
        <v>19671535</v>
      </c>
      <c r="N61" s="53">
        <f>ROUND(((M61*(1+1.9%))),0)</f>
        <v>20045294</v>
      </c>
      <c r="O61" s="9">
        <v>10</v>
      </c>
      <c r="P61" s="58">
        <f>ROUND((N61*O61)*1,0)</f>
        <v>200452940</v>
      </c>
      <c r="Q61" s="59">
        <f>ROUND((P61/30*16),0)</f>
        <v>106908235</v>
      </c>
      <c r="R61" s="113">
        <f>P61</f>
        <v>200452940</v>
      </c>
      <c r="S61" s="113">
        <f>P61</f>
        <v>200452940</v>
      </c>
      <c r="T61" s="113">
        <f>P61</f>
        <v>200452940</v>
      </c>
      <c r="U61" s="113">
        <f>P61</f>
        <v>200452940</v>
      </c>
      <c r="V61" s="113">
        <f>P61</f>
        <v>200452940</v>
      </c>
      <c r="W61" s="59">
        <f>SUM(Q61:V61)</f>
        <v>1109172935</v>
      </c>
    </row>
    <row r="62" spans="2:23" ht="30" x14ac:dyDescent="0.25">
      <c r="B62" s="1">
        <v>2</v>
      </c>
      <c r="C62" s="1" t="s">
        <v>6</v>
      </c>
      <c r="D62" s="8" t="s">
        <v>7</v>
      </c>
      <c r="E62" s="53">
        <f>1750905*10.21</f>
        <v>17876740.050000001</v>
      </c>
      <c r="F62" s="54">
        <v>6474</v>
      </c>
      <c r="G62" s="55">
        <f>E62+F62</f>
        <v>17883214.050000001</v>
      </c>
      <c r="H62" s="56">
        <v>0.08</v>
      </c>
      <c r="I62" s="56">
        <v>1</v>
      </c>
      <c r="J62" s="57">
        <v>24</v>
      </c>
      <c r="K62" s="57">
        <v>30</v>
      </c>
      <c r="L62" s="57">
        <v>24</v>
      </c>
      <c r="M62" s="53">
        <f>ROUND(((((G62*(1+H62))*I62/30))*30/24)*24,0)</f>
        <v>19313871</v>
      </c>
      <c r="N62" s="53">
        <f>ROUND(((M62*(1+1.9%))),0)</f>
        <v>19680835</v>
      </c>
      <c r="O62" s="9">
        <v>11</v>
      </c>
      <c r="P62" s="58">
        <f>ROUND((N62*O62)*1,0)</f>
        <v>216489185</v>
      </c>
      <c r="Q62" s="59">
        <f t="shared" ref="Q62:Q63" si="4">ROUND((P62/30*16),0)</f>
        <v>115460899</v>
      </c>
      <c r="R62" s="113">
        <f>P62</f>
        <v>216489185</v>
      </c>
      <c r="S62" s="113">
        <f>P62</f>
        <v>216489185</v>
      </c>
      <c r="T62" s="113">
        <f>P62</f>
        <v>216489185</v>
      </c>
      <c r="U62" s="113">
        <f t="shared" ref="U62:U63" si="5">P62</f>
        <v>216489185</v>
      </c>
      <c r="V62" s="113">
        <f t="shared" ref="V62:V63" si="6">P62</f>
        <v>216489185</v>
      </c>
      <c r="W62" s="59">
        <f>SUM(Q62:V62)</f>
        <v>1197906824</v>
      </c>
    </row>
    <row r="63" spans="2:23" ht="30" x14ac:dyDescent="0.25">
      <c r="B63" s="1">
        <v>3</v>
      </c>
      <c r="C63" s="1" t="s">
        <v>8</v>
      </c>
      <c r="D63" s="8" t="s">
        <v>9</v>
      </c>
      <c r="E63" s="53">
        <f>1750905*10.21</f>
        <v>17876740.050000001</v>
      </c>
      <c r="F63" s="54">
        <v>4542</v>
      </c>
      <c r="G63" s="55">
        <f>E63+F63</f>
        <v>17881282.050000001</v>
      </c>
      <c r="H63" s="56">
        <v>0.08</v>
      </c>
      <c r="I63" s="60">
        <f>R73*12</f>
        <v>0.43929230769230765</v>
      </c>
      <c r="J63" s="57">
        <v>12</v>
      </c>
      <c r="K63" s="57">
        <v>30</v>
      </c>
      <c r="L63" s="57">
        <v>12</v>
      </c>
      <c r="M63" s="53">
        <f>ROUND(((((G63*(1+H63))*I63/30))*K63/L63)*J63,0)</f>
        <v>8483518</v>
      </c>
      <c r="N63" s="53">
        <f>ROUND(((M63*(1+1.9%))),0)</f>
        <v>8644705</v>
      </c>
      <c r="O63" s="9">
        <v>7</v>
      </c>
      <c r="P63" s="58">
        <f>ROUND((N63*O63)*1,0)</f>
        <v>60512935</v>
      </c>
      <c r="Q63" s="59">
        <f t="shared" si="4"/>
        <v>32273565</v>
      </c>
      <c r="R63" s="113">
        <f>P63</f>
        <v>60512935</v>
      </c>
      <c r="S63" s="113">
        <f>P63</f>
        <v>60512935</v>
      </c>
      <c r="T63" s="113">
        <f>P63</f>
        <v>60512935</v>
      </c>
      <c r="U63" s="113">
        <f t="shared" si="5"/>
        <v>60512935</v>
      </c>
      <c r="V63" s="113">
        <f t="shared" si="6"/>
        <v>60512935</v>
      </c>
      <c r="W63" s="59">
        <f>SUM(Q63:V63)</f>
        <v>334838240</v>
      </c>
    </row>
    <row r="64" spans="2:23" ht="84" customHeight="1" x14ac:dyDescent="0.25">
      <c r="B64" s="94" t="s">
        <v>0</v>
      </c>
      <c r="C64" s="95" t="s">
        <v>1</v>
      </c>
      <c r="D64" s="95" t="s">
        <v>2</v>
      </c>
      <c r="E64" s="95" t="s">
        <v>129</v>
      </c>
      <c r="F64" s="95" t="s">
        <v>104</v>
      </c>
      <c r="G64" s="94" t="s">
        <v>105</v>
      </c>
      <c r="H64" s="94" t="s">
        <v>106</v>
      </c>
      <c r="I64" s="94" t="s">
        <v>107</v>
      </c>
      <c r="J64" s="94" t="s">
        <v>108</v>
      </c>
      <c r="K64" s="94" t="s">
        <v>109</v>
      </c>
      <c r="L64" s="94" t="s">
        <v>110</v>
      </c>
      <c r="M64" s="94" t="s">
        <v>111</v>
      </c>
      <c r="N64" s="96" t="s">
        <v>112</v>
      </c>
      <c r="O64" s="95" t="s">
        <v>3</v>
      </c>
      <c r="P64" s="95" t="s">
        <v>116</v>
      </c>
      <c r="Q64" s="96" t="s">
        <v>132</v>
      </c>
      <c r="R64" s="96" t="s">
        <v>146</v>
      </c>
      <c r="S64" s="96" t="s">
        <v>147</v>
      </c>
      <c r="T64" s="96" t="s">
        <v>148</v>
      </c>
      <c r="U64" s="96" t="s">
        <v>149</v>
      </c>
      <c r="V64" s="96" t="s">
        <v>151</v>
      </c>
      <c r="W64" s="96" t="s">
        <v>131</v>
      </c>
    </row>
    <row r="65" spans="2:23" ht="30" x14ac:dyDescent="0.25">
      <c r="B65" s="1">
        <v>4</v>
      </c>
      <c r="C65" s="1" t="s">
        <v>10</v>
      </c>
      <c r="D65" s="8" t="s">
        <v>57</v>
      </c>
      <c r="E65" s="53">
        <f>1750905*10.21</f>
        <v>17876740.050000001</v>
      </c>
      <c r="F65" s="54">
        <v>3283</v>
      </c>
      <c r="G65" s="55">
        <f>E65+F65</f>
        <v>17880023.050000001</v>
      </c>
      <c r="H65" s="56">
        <v>0.1</v>
      </c>
      <c r="I65" s="60">
        <f>R73*12</f>
        <v>0.43929230769230765</v>
      </c>
      <c r="J65" s="57">
        <v>12</v>
      </c>
      <c r="K65" s="57">
        <v>20</v>
      </c>
      <c r="L65" s="57">
        <v>12</v>
      </c>
      <c r="M65" s="53">
        <f>ROUND(((((G65*(1+H65))*I65/30))*K65/L65)*J65,0)</f>
        <v>5760008</v>
      </c>
      <c r="N65" s="53">
        <f>ROUND(((M65*(1+1.9%))),0)</f>
        <v>5869448</v>
      </c>
      <c r="O65" s="9">
        <v>5</v>
      </c>
      <c r="P65" s="58">
        <f>ROUND((N65*O65)*1,0)</f>
        <v>29347240</v>
      </c>
      <c r="Q65" s="59">
        <f>ROUND((P65/20*12),0)</f>
        <v>17608344</v>
      </c>
      <c r="R65" s="113">
        <f>P65/20*18</f>
        <v>26412516</v>
      </c>
      <c r="S65" s="113">
        <f>P65/20*22</f>
        <v>32281964</v>
      </c>
      <c r="T65" s="113">
        <f>ROUND((P65/20*21),0)</f>
        <v>30814602</v>
      </c>
      <c r="U65" s="113">
        <f>ROUND((P65/20*19),0)</f>
        <v>27879878</v>
      </c>
      <c r="V65" s="113">
        <f>ROUND((P65/20*20),0)</f>
        <v>29347240</v>
      </c>
      <c r="W65" s="59">
        <f>SUM(Q65:V65)</f>
        <v>164344544</v>
      </c>
    </row>
    <row r="66" spans="2:23" ht="30" x14ac:dyDescent="0.25">
      <c r="B66" s="1">
        <v>5</v>
      </c>
      <c r="C66" s="1" t="s">
        <v>11</v>
      </c>
      <c r="D66" s="8" t="s">
        <v>118</v>
      </c>
      <c r="E66" s="53">
        <f>1750905*10.21</f>
        <v>17876740.050000001</v>
      </c>
      <c r="F66" s="54">
        <v>3285</v>
      </c>
      <c r="G66" s="55">
        <f>E66+F66</f>
        <v>17880025.050000001</v>
      </c>
      <c r="H66" s="56">
        <v>0.08</v>
      </c>
      <c r="I66" s="60">
        <f>+R73*12</f>
        <v>0.43929230769230765</v>
      </c>
      <c r="J66" s="57">
        <v>12</v>
      </c>
      <c r="K66" s="57">
        <v>20</v>
      </c>
      <c r="L66" s="57">
        <v>12</v>
      </c>
      <c r="M66" s="53">
        <f>ROUND(((((G66*(1+H66))*I66/30))*K66/L66)*J66,0)</f>
        <v>5655281</v>
      </c>
      <c r="N66" s="53">
        <f>ROUND(((M66*(1+1.9%))),0)</f>
        <v>5762731</v>
      </c>
      <c r="O66" s="9">
        <v>13</v>
      </c>
      <c r="P66" s="58">
        <f>ROUND((N66*O66)*1,0)</f>
        <v>74915503</v>
      </c>
      <c r="Q66" s="59">
        <f>ROUND((P66/20*12),0)</f>
        <v>44949302</v>
      </c>
      <c r="R66" s="58">
        <f>ROUND((P66/20*18),0)</f>
        <v>67423953</v>
      </c>
      <c r="S66" s="113">
        <f>ROUND((P66/20*22),0)</f>
        <v>82407053</v>
      </c>
      <c r="T66" s="113">
        <f>ROUND((P66/20*21),0)</f>
        <v>78661278</v>
      </c>
      <c r="U66" s="113">
        <f>ROUND((P66/20*19),0)</f>
        <v>71169728</v>
      </c>
      <c r="V66" s="113">
        <f>ROUND((P66/20*20),0)</f>
        <v>74915503</v>
      </c>
      <c r="W66" s="59">
        <f>SUM(Q66:V66)</f>
        <v>419526817</v>
      </c>
    </row>
    <row r="67" spans="2:23" ht="30" x14ac:dyDescent="0.25">
      <c r="B67" s="5">
        <v>6</v>
      </c>
      <c r="C67" s="5" t="s">
        <v>59</v>
      </c>
      <c r="D67" s="8" t="s">
        <v>119</v>
      </c>
      <c r="E67" s="53">
        <f>1750905*10.21</f>
        <v>17876740.050000001</v>
      </c>
      <c r="F67" s="54">
        <v>3110</v>
      </c>
      <c r="G67" s="55">
        <f>E67+F67</f>
        <v>17879850.050000001</v>
      </c>
      <c r="H67" s="56">
        <v>0.08</v>
      </c>
      <c r="I67" s="60">
        <f>R73*8</f>
        <v>0.29286153846153845</v>
      </c>
      <c r="J67" s="57">
        <v>8</v>
      </c>
      <c r="K67" s="57">
        <v>20</v>
      </c>
      <c r="L67" s="57">
        <v>8</v>
      </c>
      <c r="M67" s="53">
        <f>ROUND(((((G67*(1+H67))*I67/30))*K67/L67)*J67,0)</f>
        <v>3770151</v>
      </c>
      <c r="N67" s="53">
        <f>ROUND(((M67*(1+1.9%))),0)</f>
        <v>3841784</v>
      </c>
      <c r="O67" s="9">
        <v>7</v>
      </c>
      <c r="P67" s="58">
        <f>ROUND((N67*O67)*1,0)</f>
        <v>26892488</v>
      </c>
      <c r="Q67" s="59">
        <f>ROUND((P67/20*12),0)</f>
        <v>16135493</v>
      </c>
      <c r="R67" s="58">
        <f>ROUND((P67/20*18),0)</f>
        <v>24203239</v>
      </c>
      <c r="S67" s="113">
        <f>ROUND((P67/20*22),0)</f>
        <v>29581737</v>
      </c>
      <c r="T67" s="113">
        <f>ROUND((P67/20*21),0)</f>
        <v>28237112</v>
      </c>
      <c r="U67" s="113">
        <f>ROUND((P67/20*19),0)</f>
        <v>25547864</v>
      </c>
      <c r="V67" s="113">
        <f>ROUND((P67/20*20),0)</f>
        <v>26892488</v>
      </c>
      <c r="W67" s="59">
        <f>SUM(Q67:V67)</f>
        <v>150597933</v>
      </c>
    </row>
    <row r="68" spans="2:23" ht="23.25" x14ac:dyDescent="0.25">
      <c r="B68" s="4"/>
      <c r="C68" s="4"/>
      <c r="D68" s="4"/>
      <c r="E68" s="4"/>
      <c r="F68" s="4"/>
      <c r="G68" s="4"/>
      <c r="H68" s="4"/>
      <c r="I68" s="61"/>
      <c r="J68" s="4"/>
      <c r="K68" s="4"/>
      <c r="L68" s="4"/>
      <c r="M68" s="4"/>
      <c r="N68" s="4"/>
      <c r="O68" s="4"/>
      <c r="P68" s="62"/>
      <c r="Q68" s="63"/>
      <c r="R68" s="63"/>
      <c r="S68" s="63"/>
      <c r="T68" s="63"/>
      <c r="U68" s="63"/>
      <c r="V68" s="63"/>
      <c r="W68" s="63"/>
    </row>
    <row r="69" spans="2:23" ht="23.25" customHeight="1" x14ac:dyDescent="0.25">
      <c r="B69" s="152" t="s">
        <v>135</v>
      </c>
      <c r="C69" s="153"/>
      <c r="D69" s="153"/>
      <c r="E69" s="153"/>
      <c r="F69" s="153"/>
      <c r="G69" s="153"/>
      <c r="H69" s="153"/>
      <c r="I69" s="153"/>
      <c r="J69" s="153"/>
      <c r="K69" s="153"/>
      <c r="L69" s="153"/>
      <c r="M69" s="153"/>
      <c r="N69" s="154"/>
      <c r="O69" s="97">
        <f>SUM(O61:O68)</f>
        <v>53</v>
      </c>
      <c r="P69" s="98">
        <f>SUM(P61:P67)</f>
        <v>608610291</v>
      </c>
      <c r="Q69" s="99">
        <f>SUM(Q61:Q67)</f>
        <v>333335838</v>
      </c>
      <c r="R69" s="100">
        <f>SUM(R61:R67)</f>
        <v>595494768</v>
      </c>
      <c r="S69" s="100">
        <f t="shared" ref="S69:V69" si="7">SUM(S61:S67)</f>
        <v>621725814</v>
      </c>
      <c r="T69" s="100">
        <f t="shared" si="7"/>
        <v>615168052</v>
      </c>
      <c r="U69" s="100">
        <f t="shared" si="7"/>
        <v>602052530</v>
      </c>
      <c r="V69" s="100">
        <f t="shared" si="7"/>
        <v>608610291</v>
      </c>
      <c r="W69" s="67">
        <f>SUM(W61:W67)</f>
        <v>3376387293</v>
      </c>
    </row>
    <row r="70" spans="2:23" x14ac:dyDescent="0.25">
      <c r="B70" s="85"/>
      <c r="C70" s="68"/>
      <c r="D70" s="68"/>
      <c r="E70" s="68"/>
      <c r="F70" s="68"/>
      <c r="G70" s="69"/>
      <c r="H70" s="69"/>
      <c r="I70" s="70"/>
      <c r="J70" s="69"/>
      <c r="K70" s="69"/>
      <c r="L70" s="69"/>
      <c r="M70" s="69"/>
      <c r="N70" s="68"/>
      <c r="O70" s="68"/>
      <c r="P70" s="68"/>
      <c r="Q70" s="68"/>
      <c r="R70" s="68"/>
      <c r="S70" s="68"/>
      <c r="T70" s="68"/>
      <c r="U70" s="68"/>
      <c r="V70" s="68"/>
      <c r="W70" s="68"/>
    </row>
    <row r="71" spans="2:23" ht="25.5" x14ac:dyDescent="0.25">
      <c r="B71" s="68"/>
      <c r="C71" s="68"/>
      <c r="D71" s="68"/>
      <c r="E71" s="68"/>
      <c r="F71" s="86"/>
      <c r="G71" s="69"/>
      <c r="H71" s="68"/>
      <c r="I71" s="71"/>
      <c r="J71" s="68"/>
      <c r="K71" s="68"/>
      <c r="L71" s="68"/>
      <c r="M71" s="68"/>
      <c r="N71" s="68"/>
      <c r="O71" s="68"/>
      <c r="P71" s="4"/>
      <c r="Q71" s="73" t="s">
        <v>121</v>
      </c>
      <c r="R71" s="73" t="s">
        <v>122</v>
      </c>
      <c r="S71" s="104"/>
      <c r="T71" s="104"/>
      <c r="U71" s="104"/>
      <c r="V71" s="104"/>
      <c r="W71" s="74"/>
    </row>
    <row r="72" spans="2:23" x14ac:dyDescent="0.25">
      <c r="B72" s="87"/>
      <c r="C72" s="87"/>
      <c r="D72" s="68"/>
      <c r="E72" s="88"/>
      <c r="F72" s="68"/>
      <c r="G72" s="69"/>
      <c r="H72" s="68"/>
      <c r="I72" s="71"/>
      <c r="J72" s="68"/>
      <c r="K72" s="68"/>
      <c r="L72" s="68"/>
      <c r="M72" s="68"/>
      <c r="N72" s="68"/>
      <c r="O72" s="68"/>
      <c r="P72" s="76" t="s">
        <v>123</v>
      </c>
      <c r="Q72" s="77">
        <v>0.52410000000000001</v>
      </c>
      <c r="R72" s="77">
        <f>+Q72/11</f>
        <v>4.7645454545454546E-2</v>
      </c>
      <c r="S72" s="110"/>
      <c r="T72" s="110"/>
      <c r="U72" s="110"/>
      <c r="V72" s="110"/>
      <c r="W72" s="78"/>
    </row>
    <row r="73" spans="2:23" x14ac:dyDescent="0.25">
      <c r="B73" s="68"/>
      <c r="C73" s="68"/>
      <c r="D73" s="68"/>
      <c r="E73" s="89"/>
      <c r="F73" s="68"/>
      <c r="G73" s="69"/>
      <c r="H73" s="90"/>
      <c r="I73" s="90"/>
      <c r="J73" s="90"/>
      <c r="K73" s="79"/>
      <c r="L73" s="79"/>
      <c r="M73" s="79"/>
      <c r="N73" s="79"/>
      <c r="O73" s="79"/>
      <c r="P73" s="76" t="s">
        <v>124</v>
      </c>
      <c r="Q73" s="80">
        <v>0.47589999999999999</v>
      </c>
      <c r="R73" s="80">
        <f>+Q73/13</f>
        <v>3.6607692307692306E-2</v>
      </c>
      <c r="S73" s="112"/>
      <c r="T73" s="112"/>
      <c r="U73" s="112"/>
      <c r="V73" s="112"/>
      <c r="W73" s="81"/>
    </row>
    <row r="74" spans="2:23" ht="21" x14ac:dyDescent="0.25">
      <c r="B74" s="91"/>
      <c r="C74" s="91"/>
      <c r="D74" s="92"/>
      <c r="E74" s="91"/>
      <c r="F74" s="91"/>
      <c r="G74" s="91"/>
      <c r="H74" s="49"/>
      <c r="I74" s="49"/>
      <c r="J74" s="49"/>
      <c r="K74" s="49"/>
      <c r="L74" s="49"/>
      <c r="M74" s="49"/>
      <c r="N74" s="49"/>
      <c r="O74" s="49"/>
      <c r="P74" s="2"/>
      <c r="Q74" s="77">
        <f>+Q72+Q73</f>
        <v>1</v>
      </c>
      <c r="R74" s="82"/>
      <c r="S74" s="111"/>
      <c r="T74" s="111"/>
      <c r="U74" s="111"/>
      <c r="V74" s="111"/>
      <c r="W74" s="83"/>
    </row>
    <row r="77" spans="2:23" ht="69.75" customHeight="1" x14ac:dyDescent="0.25">
      <c r="B77" s="158" t="s">
        <v>136</v>
      </c>
      <c r="C77" s="158"/>
      <c r="D77" s="158"/>
      <c r="E77" s="158" t="s">
        <v>137</v>
      </c>
      <c r="F77" s="159"/>
      <c r="G77" s="159"/>
      <c r="H77" s="49"/>
      <c r="I77" s="160"/>
      <c r="J77" s="161"/>
      <c r="K77" s="161"/>
      <c r="L77" s="49"/>
      <c r="M77" s="160"/>
      <c r="N77" s="161"/>
      <c r="O77" s="161"/>
    </row>
    <row r="78" spans="2:23" ht="20.25" x14ac:dyDescent="0.25">
      <c r="B78" s="145" t="s">
        <v>138</v>
      </c>
      <c r="C78" s="145"/>
      <c r="D78" s="145"/>
      <c r="E78" s="146">
        <f>R15+W51</f>
        <v>202399776</v>
      </c>
      <c r="F78" s="147"/>
      <c r="G78" s="147"/>
      <c r="H78" s="102"/>
      <c r="I78" s="150"/>
      <c r="J78" s="151"/>
      <c r="K78" s="151"/>
      <c r="L78" s="103"/>
      <c r="M78" s="150"/>
      <c r="N78" s="151"/>
      <c r="O78" s="151"/>
      <c r="R78" s="93"/>
      <c r="S78" s="93"/>
      <c r="T78" s="93"/>
      <c r="U78" s="93"/>
      <c r="V78" s="93"/>
    </row>
    <row r="79" spans="2:23" ht="20.25" x14ac:dyDescent="0.25">
      <c r="B79" s="145" t="s">
        <v>139</v>
      </c>
      <c r="C79" s="145"/>
      <c r="D79" s="145"/>
      <c r="E79" s="146">
        <f>R33+W69</f>
        <v>3654611923</v>
      </c>
      <c r="F79" s="147"/>
      <c r="G79" s="147"/>
      <c r="H79" s="49"/>
      <c r="I79" s="148"/>
      <c r="J79" s="149"/>
      <c r="K79" s="149"/>
      <c r="L79" s="49"/>
      <c r="M79" s="148"/>
      <c r="N79" s="149"/>
      <c r="O79" s="149"/>
      <c r="R79" s="93"/>
      <c r="S79" s="93"/>
      <c r="T79" s="93"/>
      <c r="U79" s="93"/>
      <c r="V79" s="93"/>
    </row>
    <row r="80" spans="2:23" ht="20.25" x14ac:dyDescent="0.25">
      <c r="B80" s="145" t="s">
        <v>140</v>
      </c>
      <c r="C80" s="145"/>
      <c r="D80" s="145"/>
      <c r="E80" s="146">
        <f>E78+E79</f>
        <v>3857011699</v>
      </c>
      <c r="F80" s="147"/>
      <c r="G80" s="147"/>
      <c r="H80" s="49"/>
      <c r="I80" s="148"/>
      <c r="J80" s="149"/>
      <c r="K80" s="149"/>
      <c r="L80" s="103"/>
      <c r="M80" s="148"/>
      <c r="N80" s="149"/>
      <c r="O80" s="149"/>
    </row>
  </sheetData>
  <sheetProtection selectLockedCells="1"/>
  <mergeCells count="25">
    <mergeCell ref="B40:W40"/>
    <mergeCell ref="B2:W2"/>
    <mergeCell ref="B4:R4"/>
    <mergeCell ref="B15:N15"/>
    <mergeCell ref="B22:R22"/>
    <mergeCell ref="B33:N33"/>
    <mergeCell ref="B51:N51"/>
    <mergeCell ref="B58:W58"/>
    <mergeCell ref="B69:N69"/>
    <mergeCell ref="B77:D77"/>
    <mergeCell ref="E77:G77"/>
    <mergeCell ref="I77:K77"/>
    <mergeCell ref="M77:O77"/>
    <mergeCell ref="B80:D80"/>
    <mergeCell ref="E80:G80"/>
    <mergeCell ref="I80:K80"/>
    <mergeCell ref="M80:O80"/>
    <mergeCell ref="B78:D78"/>
    <mergeCell ref="E78:G78"/>
    <mergeCell ref="I78:K78"/>
    <mergeCell ref="M78:O78"/>
    <mergeCell ref="B79:D79"/>
    <mergeCell ref="E79:G79"/>
    <mergeCell ref="I79:K79"/>
    <mergeCell ref="M79:O79"/>
  </mergeCells>
  <pageMargins left="0.7" right="0.7" top="0.75" bottom="0.75" header="0.3" footer="0.3"/>
  <pageSetup paperSize="5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UBICACIÓN DE LOS SERVICIOS</vt:lpstr>
      <vt:lpstr>RESUMEN</vt:lpstr>
      <vt:lpstr>LIQUIDACIÓN POE</vt:lpstr>
      <vt:lpstr>'UBICACIÓN DE LOS SERVICIOS'!Área_de_impresión</vt:lpstr>
      <vt:lpstr>'UBICACIÓN DE LOS SERVICIOS'!Títulos_a_imprimir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Helda Maria Ayala Moreno</dc:creator>
  <cp:lastModifiedBy>Natalia Jimenez Orozco</cp:lastModifiedBy>
  <cp:lastPrinted>2026-02-03T15:24:04Z</cp:lastPrinted>
  <dcterms:created xsi:type="dcterms:W3CDTF">2023-03-22T17:48:07Z</dcterms:created>
  <dcterms:modified xsi:type="dcterms:W3CDTF">2026-03-16T20:00:14Z</dcterms:modified>
</cp:coreProperties>
</file>