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transmilenio-my.sharepoint.com/personal/miguel_duque_transmilenio_gov_co/Documents/PROCESOS 2026/ABRIL/"/>
    </mc:Choice>
  </mc:AlternateContent>
  <xr:revisionPtr revIDLastSave="645" documentId="8_{1968B716-C230-4379-91B6-2C291CCF6F42}" xr6:coauthVersionLast="47" xr6:coauthVersionMax="47" xr10:uidLastSave="{EBBDE682-0C31-428D-8C7E-9D0FA8ECBC72}"/>
  <bookViews>
    <workbookView xWindow="-108" yWindow="-108" windowWidth="23256" windowHeight="12456" xr2:uid="{00000000-000D-0000-FFFF-FFFF00000000}"/>
  </bookViews>
  <sheets>
    <sheet name="Evaluación" sheetId="5" r:id="rId1"/>
  </sheets>
  <definedNames>
    <definedName name="_xlnm.Print_Area" localSheetId="0">Evaluación!$A$1:$K$123</definedName>
    <definedName name="_xlnm.Print_Titles" localSheetId="0">Evaluación!$1:$2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0" i="5" l="1"/>
  <c r="B145" i="5"/>
  <c r="B120" i="5"/>
  <c r="B89" i="5"/>
  <c r="I120" i="5"/>
  <c r="F120" i="5"/>
  <c r="E120" i="5"/>
  <c r="D120" i="5"/>
  <c r="J89" i="5"/>
  <c r="J90" i="5"/>
  <c r="J91" i="5"/>
  <c r="G120" i="5"/>
  <c r="J88" i="5"/>
  <c r="J87" i="5"/>
  <c r="H119" i="5" s="1"/>
  <c r="F119" i="5"/>
  <c r="B119" i="5"/>
  <c r="B169" i="5" s="1"/>
  <c r="D119" i="5"/>
  <c r="E119" i="5"/>
  <c r="G119" i="5"/>
  <c r="I119" i="5"/>
  <c r="B87" i="5"/>
  <c r="H120" i="5" l="1"/>
  <c r="B144" i="5"/>
  <c r="B118" i="5" l="1"/>
  <c r="B143" i="5" s="1"/>
  <c r="D118" i="5"/>
  <c r="E118" i="5"/>
  <c r="F118" i="5"/>
  <c r="G118" i="5"/>
  <c r="I118" i="5"/>
  <c r="J86" i="5"/>
  <c r="H118" i="5" s="1"/>
  <c r="B86" i="5"/>
  <c r="B117" i="5"/>
  <c r="B142" i="5" s="1"/>
  <c r="D117" i="5"/>
  <c r="E117" i="5"/>
  <c r="F117" i="5"/>
  <c r="G117" i="5"/>
  <c r="I117" i="5"/>
  <c r="B84" i="5"/>
  <c r="J84" i="5"/>
  <c r="J85" i="5"/>
  <c r="I116" i="5"/>
  <c r="F116" i="5"/>
  <c r="E116" i="5"/>
  <c r="D116" i="5"/>
  <c r="B116" i="5"/>
  <c r="B141" i="5" s="1"/>
  <c r="G116" i="5"/>
  <c r="B82" i="5"/>
  <c r="J82" i="5"/>
  <c r="J83" i="5"/>
  <c r="B115" i="5"/>
  <c r="B140" i="5" s="1"/>
  <c r="D115" i="5"/>
  <c r="E115" i="5"/>
  <c r="F115" i="5"/>
  <c r="G115" i="5"/>
  <c r="I115" i="5"/>
  <c r="B114" i="5"/>
  <c r="B164" i="5" s="1"/>
  <c r="D114" i="5"/>
  <c r="E114" i="5"/>
  <c r="F114" i="5"/>
  <c r="G114" i="5"/>
  <c r="I114" i="5"/>
  <c r="B80" i="5"/>
  <c r="J80" i="5"/>
  <c r="J81" i="5"/>
  <c r="J79" i="5"/>
  <c r="J78" i="5"/>
  <c r="B78" i="5"/>
  <c r="B113" i="5"/>
  <c r="B138" i="5" s="1"/>
  <c r="D113" i="5"/>
  <c r="E113" i="5"/>
  <c r="G113" i="5"/>
  <c r="I113" i="5"/>
  <c r="J77" i="5"/>
  <c r="H113" i="5" s="1"/>
  <c r="B77" i="5"/>
  <c r="B112" i="5"/>
  <c r="B162" i="5" s="1"/>
  <c r="D112" i="5"/>
  <c r="E112" i="5"/>
  <c r="F112" i="5"/>
  <c r="G112" i="5"/>
  <c r="I112" i="5"/>
  <c r="B75" i="5"/>
  <c r="J75" i="5"/>
  <c r="J76" i="5"/>
  <c r="B111" i="5"/>
  <c r="B161" i="5" s="1"/>
  <c r="D111" i="5"/>
  <c r="E111" i="5"/>
  <c r="G111" i="5"/>
  <c r="I111" i="5"/>
  <c r="B73" i="5"/>
  <c r="J73" i="5"/>
  <c r="J74" i="5"/>
  <c r="B110" i="5"/>
  <c r="B160" i="5" s="1"/>
  <c r="D110" i="5"/>
  <c r="E110" i="5"/>
  <c r="F110" i="5"/>
  <c r="G110" i="5"/>
  <c r="I110" i="5"/>
  <c r="J72" i="5"/>
  <c r="J71" i="5"/>
  <c r="B71" i="5"/>
  <c r="B109" i="5"/>
  <c r="B159" i="5" s="1"/>
  <c r="D109" i="5"/>
  <c r="E109" i="5"/>
  <c r="G109" i="5"/>
  <c r="I109" i="5"/>
  <c r="J70" i="5"/>
  <c r="H109" i="5" s="1"/>
  <c r="B70" i="5"/>
  <c r="B168" i="5" l="1"/>
  <c r="B167" i="5"/>
  <c r="H117" i="5"/>
  <c r="H116" i="5"/>
  <c r="B166" i="5"/>
  <c r="B165" i="5"/>
  <c r="H114" i="5"/>
  <c r="B139" i="5"/>
  <c r="H115" i="5"/>
  <c r="B163" i="5"/>
  <c r="H112" i="5"/>
  <c r="B137" i="5"/>
  <c r="H111" i="5"/>
  <c r="B136" i="5"/>
  <c r="H110" i="5"/>
  <c r="B135" i="5"/>
  <c r="B134" i="5"/>
  <c r="I108" i="5"/>
  <c r="F108" i="5"/>
  <c r="E108" i="5"/>
  <c r="D108" i="5"/>
  <c r="B108" i="5"/>
  <c r="B158" i="5" s="1"/>
  <c r="G108" i="5"/>
  <c r="J69" i="5"/>
  <c r="J68" i="5"/>
  <c r="B68" i="5"/>
  <c r="I107" i="5"/>
  <c r="E107" i="5"/>
  <c r="D107" i="5"/>
  <c r="B107" i="5"/>
  <c r="B132" i="5" s="1"/>
  <c r="G107" i="5"/>
  <c r="J67" i="5"/>
  <c r="J66" i="5"/>
  <c r="B66" i="5"/>
  <c r="B106" i="5"/>
  <c r="B131" i="5" s="1"/>
  <c r="D106" i="5"/>
  <c r="E106" i="5"/>
  <c r="F106" i="5"/>
  <c r="G106" i="5"/>
  <c r="I106" i="5"/>
  <c r="J65" i="5"/>
  <c r="H106" i="5" s="1"/>
  <c r="B65" i="5"/>
  <c r="I105" i="5"/>
  <c r="F105" i="5"/>
  <c r="E105" i="5"/>
  <c r="D105" i="5"/>
  <c r="B105" i="5"/>
  <c r="B155" i="5" s="1"/>
  <c r="G105" i="5"/>
  <c r="J64" i="5"/>
  <c r="J63" i="5"/>
  <c r="B63" i="5"/>
  <c r="I104" i="5"/>
  <c r="F104" i="5"/>
  <c r="E104" i="5"/>
  <c r="D104" i="5"/>
  <c r="B104" i="5"/>
  <c r="B154" i="5" s="1"/>
  <c r="G104" i="5"/>
  <c r="B61" i="5"/>
  <c r="J61" i="5"/>
  <c r="J62" i="5"/>
  <c r="B103" i="5"/>
  <c r="B153" i="5" s="1"/>
  <c r="D103" i="5"/>
  <c r="E103" i="5"/>
  <c r="F103" i="5"/>
  <c r="G103" i="5"/>
  <c r="I103" i="5"/>
  <c r="B59" i="5"/>
  <c r="J60" i="5"/>
  <c r="J59" i="5"/>
  <c r="B102" i="5"/>
  <c r="B127" i="5" s="1"/>
  <c r="D102" i="5"/>
  <c r="E102" i="5"/>
  <c r="F102" i="5"/>
  <c r="G102" i="5"/>
  <c r="I102" i="5"/>
  <c r="J58" i="5"/>
  <c r="H102" i="5" s="1"/>
  <c r="B58" i="5"/>
  <c r="H108" i="5" l="1"/>
  <c r="B133" i="5"/>
  <c r="H107" i="5"/>
  <c r="B157" i="5"/>
  <c r="B156" i="5"/>
  <c r="H105" i="5"/>
  <c r="H103" i="5"/>
  <c r="B130" i="5"/>
  <c r="H104" i="5"/>
  <c r="B129" i="5"/>
  <c r="B128" i="5"/>
  <c r="B152" i="5"/>
  <c r="I101" i="5"/>
  <c r="F101" i="5"/>
  <c r="E101" i="5"/>
  <c r="D101" i="5"/>
  <c r="B101" i="5"/>
  <c r="G101" i="5"/>
  <c r="J57" i="5"/>
  <c r="J56" i="5"/>
  <c r="B56" i="5"/>
  <c r="H101" i="5" l="1"/>
  <c r="B151" i="5"/>
  <c r="B126" i="5"/>
  <c r="I100" i="5"/>
  <c r="G100" i="5"/>
  <c r="E100" i="5"/>
  <c r="D100" i="5"/>
  <c r="B100" i="5"/>
  <c r="B150" i="5" s="1"/>
  <c r="B55" i="5"/>
  <c r="J55" i="5"/>
  <c r="D94" i="5"/>
  <c r="B53" i="5"/>
  <c r="I99" i="5"/>
  <c r="E99" i="5"/>
  <c r="D99" i="5"/>
  <c r="J53" i="5"/>
  <c r="J54" i="5"/>
  <c r="H100" i="5" l="1"/>
  <c r="B125" i="5"/>
  <c r="H99" i="5"/>
  <c r="B99" i="5"/>
  <c r="B124" i="5" s="1"/>
  <c r="G99" i="5"/>
  <c r="B149" i="5" l="1"/>
</calcChain>
</file>

<file path=xl/sharedStrings.xml><?xml version="1.0" encoding="utf-8"?>
<sst xmlns="http://schemas.openxmlformats.org/spreadsheetml/2006/main" count="381" uniqueCount="95">
  <si>
    <t>PROPONENTE</t>
  </si>
  <si>
    <t>INFORMACIÓN REQUERIDA</t>
  </si>
  <si>
    <t>INDICADOR</t>
  </si>
  <si>
    <t>ACTIVO TOTAL</t>
  </si>
  <si>
    <t>PASIVO TOTAL</t>
  </si>
  <si>
    <t>ACTIVO CORRIENTE</t>
  </si>
  <si>
    <t>PASIVO CORRIENTE</t>
  </si>
  <si>
    <t>CUMPLIMIENTO DE INDICADORES FINANCIEROS</t>
  </si>
  <si>
    <t>PERSONAS JURÍDICAS</t>
  </si>
  <si>
    <t>CUMPLE S/N</t>
  </si>
  <si>
    <t>RESULTADO FINAL</t>
  </si>
  <si>
    <t>(CUMPLE S/N)</t>
  </si>
  <si>
    <t xml:space="preserve">INFORMACIÓN        </t>
  </si>
  <si>
    <t>RUP</t>
  </si>
  <si>
    <t>UTILIDAD OPERACIONAL</t>
  </si>
  <si>
    <t>GASTOS DE INTERESES</t>
  </si>
  <si>
    <t>PATRIMONIO</t>
  </si>
  <si>
    <t>RUT</t>
  </si>
  <si>
    <t>REPRESENTANTE 
LEGAL</t>
  </si>
  <si>
    <t>Cédula representante legal</t>
  </si>
  <si>
    <t>OBSERVACIONES</t>
  </si>
  <si>
    <t>EL PROPONENTE:</t>
  </si>
  <si>
    <t xml:space="preserve"> DEBE REMITIR:</t>
  </si>
  <si>
    <t>OBSERVACION</t>
  </si>
  <si>
    <t>SI</t>
  </si>
  <si>
    <t>N/A</t>
  </si>
  <si>
    <t>MIGUEL DARIO DUQUE VARGAS</t>
  </si>
  <si>
    <t>S</t>
  </si>
  <si>
    <t xml:space="preserve">CUMPLE CON LOS REQUISITOS FINANCIEROS Y ORGANIZACIONALES HABILITANTES </t>
  </si>
  <si>
    <t>VALOR PRESUPUESTO OFICIAL PROCESO</t>
  </si>
  <si>
    <t>CAPITAL DE TRABAJO TOTAL</t>
  </si>
  <si>
    <t>CUMPLE (S/N)</t>
  </si>
  <si>
    <t>N</t>
  </si>
  <si>
    <t xml:space="preserve">NO CUMPLE CON LOS REQUISITOS FINANCIEROS Y ORGANIZACIONALES HABILITANTES </t>
  </si>
  <si>
    <t>K-RESIDUAL
CUMPLE</t>
  </si>
  <si>
    <t>CONTRATISTA DIRECCIÓN DE CONTRATACIÒN</t>
  </si>
  <si>
    <t xml:space="preserve">                         EVALUACIÓN PRELIMINAR DE REQUISITOS FINANCIEROS Y ORGANIZACIONALES HABILITANTES</t>
  </si>
  <si>
    <t>indice de Liquidez
(&gt;= 1,61)</t>
  </si>
  <si>
    <t>Nivel de Endeudamiento (&lt;= 64,53%)</t>
  </si>
  <si>
    <t>Cobertura de Intereses (&gt;=1,53 O INDETERMINADO)</t>
  </si>
  <si>
    <t>Rentabilidad del Patrimonio
 (&gt;= 4%)</t>
  </si>
  <si>
    <t>Rentabilidad del Activo (&gt;= 2%)</t>
  </si>
  <si>
    <t>CONSULTA POLITICA SARLAFT, FORMATO 7 Y FORMATO 9</t>
  </si>
  <si>
    <t>Indeterminado</t>
  </si>
  <si>
    <t>NO</t>
  </si>
  <si>
    <t xml:space="preserve">                                      CONCURSO DE MERITOS No. TMSA-CM-02-2026</t>
  </si>
  <si>
    <t>“DCM57 Realizar la interventoría integral (técnica, administrativa y financiera) del
contrato mediante el cual se realizará el mantenimiento de la infraestructura del
componente BRT del sistema de transporte masivo de la ciudad de Bogotá D.C., a cargo
de la Empresa de Transporte del Tercer Milenio - TRANSMILENIO S.A”</t>
  </si>
  <si>
    <t>Capital de Trabajo &gt;= $ 1.541.000.000</t>
  </si>
  <si>
    <t>CONSORCIO INTER VIAS BRT
JGF SERVICIOS S.A.S. 50%
JGF INGENIERIA S.A.S.   50%</t>
  </si>
  <si>
    <t>JORGE GOMEZ FALLA</t>
  </si>
  <si>
    <t>CIVING INGENIEROS CONTRATISTAS SAS</t>
  </si>
  <si>
    <t>STEPHAN IVAN VALLEJO PACHON</t>
  </si>
  <si>
    <t>CONSORCIO BRT VELNEC
VELNEC S.A.S. 51%
VELNEC INGENIERIA S.A.S. BIC.   49%</t>
  </si>
  <si>
    <t>YENNY PAOLA MELO CALDERÓN</t>
  </si>
  <si>
    <t>INGENIERIA MASTER S.A.S.</t>
  </si>
  <si>
    <t>CLAUDIA DEL PILAR SUAREZ ANGARITA</t>
  </si>
  <si>
    <t>CONSORCIO INTER BRT
INPROTEKTO LTDA. 51%
COINVIAL SAS.   49%</t>
  </si>
  <si>
    <t>MANUEL EDUARDO ALVAREZ VANEGAS</t>
  </si>
  <si>
    <t>CONSORCIO AT INTERVENTORIA
ALIANZA INTEGRAL DE PROYECTOS SAS BIC. 90%
TALATAA PROYECTOS SAS.   10%</t>
  </si>
  <si>
    <t>SUSANA MARGARITA GUERRA BECERRA</t>
  </si>
  <si>
    <t>JHULIANA ANDREA SARMIENTO GARCÍA</t>
  </si>
  <si>
    <t>CONSORCIO BRT AR
RESTREPO Y URIBE S.A.S. 50,01%
INGERTECOL S.A.S. – BIC.   49,99%</t>
  </si>
  <si>
    <t>LOS INTEGRANTES DEL CONSORCIO DEBERAN ALLEGAR EN EL TERMINO DE TRASLADO DEL INFORME DE EVALUACION PRELIMINAR EL FORMATO DE CONOCIMIENTO EN LOS TERMINOS DEL NUMERAL 2.7 DEL PLIEGO DE CONDICIONES</t>
  </si>
  <si>
    <t>LOS INTEGRANTES DEL CONSORCIO DEBERAN ALLEGAR EN EL TERMINO DE TRASLADO DEL INFORME DE EVALUACION PRELIMINAR EL FORMATO NUMERO 7 DE CONFORMIDAD CON EL  NUMERAL 2.1 DEL PLIEGO DE CONDICIONES
LOS INTEGRANTES DEL CONSORCIO DEBERAN ALLEGAR EN EL TERMINO DE TRASLADO DEL INFORME DE EVALUACION PRELIMINAR EL FORMATO NUMERO 9  FORMATO DE CONOCIMIENTO DE CONFORMIDAD CON EL NUMERAL 2.7 DEL PLIEGO DE CONDICIONES</t>
  </si>
  <si>
    <t>SERVICIOS DE INGENIERIA Y CONSTRUCCION SAS</t>
  </si>
  <si>
    <t>ÁLVARO FRANCISCO BETTIN DIAGO</t>
  </si>
  <si>
    <t>CONSORCIO INTERVENTORÍA MANTENIMIENTO INFRAESTRUCTURA TRANSMILENIO.
GYG DEVELOPMENT GROUP INTERNATIONAL SAS. 70%
QATRO SAS   30%</t>
  </si>
  <si>
    <t>CARLOS EDUARDO ESQUIVIA ESCOBAR</t>
  </si>
  <si>
    <t>ABRAHAM ANTONIO PALACIO AMADO</t>
  </si>
  <si>
    <t>CONSORCIO INTER BRT 2026
COBA B&amp;C S.A.S. 50%
INGENIERIA DE CALIDAD E INNOVACION S.A.S BIC  50%</t>
  </si>
  <si>
    <t>SCAIN ADMINISTRACION E INGENIERIA SAS BIC</t>
  </si>
  <si>
    <t>ASTRID ROCIO ROCA PATIÑO</t>
  </si>
  <si>
    <t>MIGUEL ÁNGEL VARGAS PINZÓN</t>
  </si>
  <si>
    <t>CONSORCIO TRANSPORTE MASIVO UGGB.
UG21 ENGINEERING S.A.S. 90%
GB10 CONSULTORES S.A.S.   10%</t>
  </si>
  <si>
    <t>CONSORCIO INTER INFRABRT
C&amp;M CONSULTORES S.A.S. 90%
CONSULTORA CENTRAL S.A.S. BIC.   10%</t>
  </si>
  <si>
    <t>MANUEL GONZALEZ MOLES</t>
  </si>
  <si>
    <t>EL CONSORCIO NO CUMPLE CON EL CAPITAL DE TRABAJO MINIMO ESTABLECIDO MAYOR O IGUAL A $ 1.541.000.000</t>
  </si>
  <si>
    <t>CONSORCIO TM BOGOTA
ECG INGENIERIA S.A.S.  50%
INGENIERÍA CENIT DE CÓRDOBA Y ASOCIADOS S.A.S.   50%</t>
  </si>
  <si>
    <t>JULIAN PASTOR VALBUENA LOPEZ</t>
  </si>
  <si>
    <t>A&amp;G PLUS SAS BIC</t>
  </si>
  <si>
    <t>EL OFERENTE NO CUMPLE CON EL CAPITAL DE TRABAJO MINIMO ESTABLECIDO MAYOR O IGUAL A $ 1.541.000.000</t>
  </si>
  <si>
    <t>CONSORCIO INTER MANTENIMIENTO BRT.
INGEPLAN.CO INFRAESTRUCTURA S.A.S. BIC.  50%
INGENIERIA CONSULTORIA Y PLANEACION S A.   50%</t>
  </si>
  <si>
    <t>FABIO ERNESTO VILLAMIL PAEZ</t>
  </si>
  <si>
    <t>CONSORCIO VIAL MASIVO 
NOGAALL S.A.S.  50%
MC CONSULTORES Y CONSTRUCTORES S.A.S..   50%</t>
  </si>
  <si>
    <t>JORGE HERNANDO BELTRAN CATUMBA</t>
  </si>
  <si>
    <t>CONSORCIO INTERMILENIO BRT
GAVINCO INGENIEROS CONSULTORES SAS.  49,9%
ING INGENIERÍA S.A.S  50,1%</t>
  </si>
  <si>
    <t>LUZ ANDREA FAJARDO CORREDOR</t>
  </si>
  <si>
    <t>CONSORCIO URBANO LA-PA
CICA INGENIERIA E INTERVENTORIA S.A.S.   50%
GEAGOR S.A.S BIC  50%</t>
  </si>
  <si>
    <t>ELBER RAMIRO AGUIRRE ORTIZ</t>
  </si>
  <si>
    <t>INGEANDINA CONSULTORES DE INGENIERÍA S.A.S.</t>
  </si>
  <si>
    <t>MARIA ALEJANDRA LOBO FIGUEREDO</t>
  </si>
  <si>
    <t>CONSORCIO TRANSITO CAPITAL
DAIMCO S.A.S. 90%
DIBENEM S.A.S.  10%</t>
  </si>
  <si>
    <t>JOSE VICENTE BOCANEGRA GARCIA</t>
  </si>
  <si>
    <t>CONSORCIO INTERVENTOR PROES - SOTA
PROES LATAM S.A.S.   60%
PROES COLOMBIA S.A.S  10%
SOCIEDAD TECNICA SOTA S.A.S.   30%</t>
  </si>
  <si>
    <t>PAOLA ALEXANDRA MUÑOZ BOHORQUEZ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</si>
</sst>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\ _p_t_a_-;\-* #,##0\ _p_t_a_-;_-* &quot;-&quot;\ _p_t_a_-;_-@_-"/>
    <numFmt numFmtId="166" formatCode="_-* #,##0.00\ &quot;pta&quot;_-;\-* #,##0.00\ &quot;pta&quot;_-;_-* &quot;-&quot;??\ &quot;pta&quot;_-;_-@_-"/>
    <numFmt numFmtId="167" formatCode="#,##0_ ;\-#,##0\ "/>
    <numFmt numFmtId="168" formatCode="_-* #,##0.00\ [$€-1]_-;\-* #,##0.00\ [$€-1]_-;_-* &quot;-&quot;??\ [$€-1]_-"/>
    <numFmt numFmtId="169" formatCode="[$$-240A]\ #,##0;[$$-240A]\ \-#,##0"/>
    <numFmt numFmtId="170" formatCode="_-* #,##0.0000\ _p_t_a_-;\-* #,##0.0000\ _p_t_a_-;_-* &quot;-&quot;????\ _p_t_a_-;_-@_-"/>
    <numFmt numFmtId="171" formatCode="[$$-240A]\ #,##0"/>
    <numFmt numFmtId="172" formatCode="_(* #,##0_);_(* \(#,##0\);_(* &quot;-&quot;??_);_(@_)"/>
  </numFmts>
  <fonts count="2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sz val="13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9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4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8" fontId="1" fillId="0" borderId="0" applyFont="0" applyFill="0" applyBorder="0" applyAlignment="0" applyProtection="0"/>
    <xf numFmtId="168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17" fillId="0" borderId="0" applyFont="0" applyFill="0" applyBorder="0" applyAlignment="0" applyProtection="0"/>
    <xf numFmtId="42" fontId="20" fillId="0" borderId="0" applyFont="0" applyFill="0" applyBorder="0" applyAlignment="0" applyProtection="0"/>
  </cellStyleXfs>
  <cellXfs count="166">
    <xf numFmtId="0" fontId="0" fillId="0" borderId="0" xfId="0"/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7" fontId="15" fillId="2" borderId="0" xfId="3" applyNumberFormat="1" applyFont="1" applyFill="1" applyBorder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165" fontId="7" fillId="2" borderId="0" xfId="3" applyFont="1" applyFill="1" applyBorder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justify" vertical="center"/>
    </xf>
    <xf numFmtId="0" fontId="19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72" fontId="18" fillId="2" borderId="0" xfId="8" applyNumberFormat="1" applyFont="1" applyFill="1" applyAlignment="1">
      <alignment vertical="center"/>
    </xf>
    <xf numFmtId="0" fontId="9" fillId="2" borderId="0" xfId="0" applyFont="1" applyFill="1" applyAlignment="1">
      <alignment vertical="center"/>
    </xf>
    <xf numFmtId="167" fontId="3" fillId="2" borderId="0" xfId="3" applyNumberFormat="1" applyFont="1" applyFill="1" applyBorder="1" applyAlignment="1">
      <alignment vertical="center"/>
    </xf>
    <xf numFmtId="165" fontId="4" fillId="2" borderId="0" xfId="3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65" fontId="3" fillId="2" borderId="0" xfId="3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 wrapText="1"/>
    </xf>
    <xf numFmtId="171" fontId="11" fillId="2" borderId="0" xfId="0" applyNumberFormat="1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170" fontId="12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4" fontId="9" fillId="2" borderId="0" xfId="3" applyNumberFormat="1" applyFont="1" applyFill="1" applyBorder="1" applyAlignment="1">
      <alignment horizontal="center" vertical="center"/>
    </xf>
    <xf numFmtId="10" fontId="9" fillId="2" borderId="0" xfId="6" applyNumberFormat="1" applyFont="1" applyFill="1" applyBorder="1" applyAlignment="1">
      <alignment horizontal="center" vertical="center"/>
    </xf>
    <xf numFmtId="10" fontId="4" fillId="2" borderId="0" xfId="6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vertical="center"/>
    </xf>
    <xf numFmtId="169" fontId="6" fillId="2" borderId="1" xfId="3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0" fillId="2" borderId="0" xfId="0" applyFill="1"/>
    <xf numFmtId="165" fontId="14" fillId="2" borderId="0" xfId="4" applyFont="1" applyFill="1" applyAlignment="1">
      <alignment horizontal="center" vertical="center"/>
    </xf>
    <xf numFmtId="0" fontId="18" fillId="2" borderId="0" xfId="0" applyFont="1" applyFill="1" applyAlignment="1">
      <alignment vertical="center" wrapText="1"/>
    </xf>
    <xf numFmtId="167" fontId="9" fillId="2" borderId="9" xfId="3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left" vertical="center"/>
    </xf>
    <xf numFmtId="0" fontId="14" fillId="2" borderId="11" xfId="0" applyFont="1" applyFill="1" applyBorder="1" applyAlignment="1">
      <alignment horizontal="center" vertical="center"/>
    </xf>
    <xf numFmtId="42" fontId="4" fillId="2" borderId="0" xfId="9" applyFont="1" applyFill="1" applyAlignment="1">
      <alignment vertical="center"/>
    </xf>
    <xf numFmtId="10" fontId="14" fillId="2" borderId="0" xfId="6" applyNumberFormat="1" applyFont="1" applyFill="1" applyBorder="1" applyAlignment="1">
      <alignment horizontal="center" vertical="center"/>
    </xf>
    <xf numFmtId="10" fontId="9" fillId="2" borderId="0" xfId="6" applyNumberFormat="1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4" fontId="14" fillId="2" borderId="8" xfId="3" applyNumberFormat="1" applyFont="1" applyFill="1" applyBorder="1" applyAlignment="1">
      <alignment horizontal="center" vertical="center" wrapText="1"/>
    </xf>
    <xf numFmtId="10" fontId="9" fillId="2" borderId="9" xfId="6" applyNumberFormat="1" applyFont="1" applyFill="1" applyBorder="1" applyAlignment="1">
      <alignment horizontal="center" vertical="center"/>
    </xf>
    <xf numFmtId="2" fontId="9" fillId="2" borderId="9" xfId="0" applyNumberFormat="1" applyFont="1" applyFill="1" applyBorder="1" applyAlignment="1">
      <alignment horizontal="center" vertical="center"/>
    </xf>
    <xf numFmtId="167" fontId="9" fillId="2" borderId="9" xfId="3" applyNumberFormat="1" applyFont="1" applyFill="1" applyBorder="1" applyAlignment="1">
      <alignment horizontal="center" vertical="center"/>
    </xf>
    <xf numFmtId="169" fontId="14" fillId="2" borderId="9" xfId="3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7" fontId="9" fillId="2" borderId="0" xfId="3" applyNumberFormat="1" applyFont="1" applyFill="1" applyBorder="1" applyAlignment="1">
      <alignment horizontal="right" vertical="center" wrapText="1"/>
    </xf>
    <xf numFmtId="0" fontId="14" fillId="0" borderId="20" xfId="0" applyFont="1" applyBorder="1" applyAlignment="1">
      <alignment horizontal="center" vertical="center"/>
    </xf>
    <xf numFmtId="169" fontId="14" fillId="2" borderId="1" xfId="3" applyNumberFormat="1" applyFont="1" applyFill="1" applyBorder="1" applyAlignment="1">
      <alignment horizontal="center" vertical="center" wrapText="1"/>
    </xf>
    <xf numFmtId="2" fontId="21" fillId="2" borderId="9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169" fontId="14" fillId="2" borderId="0" xfId="3" applyNumberFormat="1" applyFont="1" applyFill="1" applyBorder="1" applyAlignment="1">
      <alignment horizontal="center" vertical="center" wrapText="1"/>
    </xf>
    <xf numFmtId="172" fontId="18" fillId="2" borderId="0" xfId="8" applyNumberFormat="1" applyFont="1" applyFill="1" applyBorder="1" applyAlignment="1">
      <alignment vertical="center"/>
    </xf>
    <xf numFmtId="0" fontId="14" fillId="2" borderId="26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169" fontId="14" fillId="3" borderId="9" xfId="3" applyNumberFormat="1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3" fontId="0" fillId="2" borderId="0" xfId="0" applyNumberFormat="1" applyFill="1" applyAlignment="1">
      <alignment vertical="center"/>
    </xf>
    <xf numFmtId="0" fontId="14" fillId="0" borderId="31" xfId="0" applyFont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169" fontId="14" fillId="2" borderId="31" xfId="3" applyNumberFormat="1" applyFont="1" applyFill="1" applyBorder="1" applyAlignment="1">
      <alignment horizontal="center" vertical="center" wrapText="1"/>
    </xf>
    <xf numFmtId="10" fontId="9" fillId="2" borderId="9" xfId="6" applyNumberFormat="1" applyFont="1" applyFill="1" applyBorder="1" applyAlignment="1">
      <alignment horizontal="left" vertical="center" wrapText="1"/>
    </xf>
    <xf numFmtId="10" fontId="9" fillId="2" borderId="9" xfId="6" applyNumberFormat="1" applyFont="1" applyFill="1" applyBorder="1" applyAlignment="1">
      <alignment horizontal="left" vertical="center"/>
    </xf>
    <xf numFmtId="10" fontId="9" fillId="2" borderId="10" xfId="6" applyNumberFormat="1" applyFont="1" applyFill="1" applyBorder="1" applyAlignment="1">
      <alignment horizontal="left" vertical="center"/>
    </xf>
    <xf numFmtId="0" fontId="14" fillId="3" borderId="9" xfId="0" applyFont="1" applyFill="1" applyBorder="1" applyAlignment="1">
      <alignment horizontal="left" vertical="center" wrapText="1"/>
    </xf>
    <xf numFmtId="10" fontId="9" fillId="3" borderId="9" xfId="6" applyNumberFormat="1" applyFont="1" applyFill="1" applyBorder="1" applyAlignment="1">
      <alignment horizontal="left" vertical="center" wrapText="1"/>
    </xf>
    <xf numFmtId="10" fontId="9" fillId="3" borderId="9" xfId="6" applyNumberFormat="1" applyFont="1" applyFill="1" applyBorder="1" applyAlignment="1">
      <alignment horizontal="left" vertical="center"/>
    </xf>
    <xf numFmtId="10" fontId="9" fillId="3" borderId="10" xfId="6" applyNumberFormat="1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49" fontId="9" fillId="2" borderId="9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169" fontId="14" fillId="2" borderId="12" xfId="3" applyNumberFormat="1" applyFont="1" applyFill="1" applyBorder="1" applyAlignment="1">
      <alignment horizontal="center" vertical="center" wrapText="1"/>
    </xf>
    <xf numFmtId="169" fontId="14" fillId="2" borderId="17" xfId="3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center" vertical="center" wrapText="1"/>
    </xf>
    <xf numFmtId="10" fontId="14" fillId="2" borderId="8" xfId="6" applyNumberFormat="1" applyFont="1" applyFill="1" applyBorder="1" applyAlignment="1">
      <alignment horizontal="center" vertical="center"/>
    </xf>
    <xf numFmtId="10" fontId="14" fillId="2" borderId="4" xfId="6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9" fillId="2" borderId="0" xfId="0" quotePrefix="1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6" fillId="2" borderId="7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49" fontId="9" fillId="3" borderId="9" xfId="0" applyNumberFormat="1" applyFont="1" applyFill="1" applyBorder="1" applyAlignment="1">
      <alignment horizontal="center" vertical="center" wrapText="1"/>
    </xf>
    <xf numFmtId="49" fontId="9" fillId="3" borderId="10" xfId="0" applyNumberFormat="1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left" vertical="center" wrapText="1"/>
    </xf>
    <xf numFmtId="0" fontId="14" fillId="2" borderId="14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horizontal="left" vertical="center" wrapText="1"/>
    </xf>
    <xf numFmtId="0" fontId="14" fillId="2" borderId="21" xfId="0" applyFont="1" applyFill="1" applyBorder="1" applyAlignment="1">
      <alignment horizontal="left" vertical="center" wrapText="1"/>
    </xf>
    <xf numFmtId="169" fontId="14" fillId="2" borderId="15" xfId="3" applyNumberFormat="1" applyFont="1" applyFill="1" applyBorder="1" applyAlignment="1">
      <alignment horizontal="center" vertical="center" wrapText="1"/>
    </xf>
    <xf numFmtId="169" fontId="14" fillId="2" borderId="16" xfId="3" applyNumberFormat="1" applyFont="1" applyFill="1" applyBorder="1" applyAlignment="1">
      <alignment horizontal="center" vertical="center" wrapText="1"/>
    </xf>
    <xf numFmtId="169" fontId="14" fillId="2" borderId="13" xfId="3" applyNumberFormat="1" applyFont="1" applyFill="1" applyBorder="1" applyAlignment="1">
      <alignment horizontal="center" vertical="center" wrapText="1"/>
    </xf>
    <xf numFmtId="169" fontId="14" fillId="2" borderId="18" xfId="3" applyNumberFormat="1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 wrapText="1"/>
    </xf>
    <xf numFmtId="0" fontId="14" fillId="2" borderId="29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left" vertical="center" wrapText="1"/>
    </xf>
    <xf numFmtId="0" fontId="14" fillId="2" borderId="19" xfId="0" applyFont="1" applyFill="1" applyBorder="1" applyAlignment="1">
      <alignment horizontal="left" vertical="center" wrapText="1"/>
    </xf>
    <xf numFmtId="169" fontId="14" fillId="2" borderId="31" xfId="3" applyNumberFormat="1" applyFont="1" applyFill="1" applyBorder="1" applyAlignment="1">
      <alignment horizontal="center" vertical="center" wrapText="1"/>
    </xf>
    <xf numFmtId="169" fontId="14" fillId="3" borderId="12" xfId="3" applyNumberFormat="1" applyFont="1" applyFill="1" applyBorder="1" applyAlignment="1">
      <alignment horizontal="center" vertical="center" wrapText="1"/>
    </xf>
    <xf numFmtId="169" fontId="14" fillId="3" borderId="17" xfId="3" applyNumberFormat="1" applyFont="1" applyFill="1" applyBorder="1" applyAlignment="1">
      <alignment horizontal="center" vertical="center" wrapText="1"/>
    </xf>
    <xf numFmtId="169" fontId="14" fillId="3" borderId="30" xfId="3" applyNumberFormat="1" applyFont="1" applyFill="1" applyBorder="1" applyAlignment="1">
      <alignment horizontal="center" vertical="center" wrapText="1"/>
    </xf>
    <xf numFmtId="169" fontId="14" fillId="3" borderId="32" xfId="3" applyNumberFormat="1" applyFont="1" applyFill="1" applyBorder="1" applyAlignment="1">
      <alignment horizontal="center" vertical="center" wrapText="1"/>
    </xf>
    <xf numFmtId="169" fontId="14" fillId="3" borderId="13" xfId="3" applyNumberFormat="1" applyFont="1" applyFill="1" applyBorder="1" applyAlignment="1">
      <alignment horizontal="center" vertical="center" wrapText="1"/>
    </xf>
    <xf numFmtId="169" fontId="14" fillId="3" borderId="18" xfId="3" applyNumberFormat="1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left" vertical="center" wrapText="1"/>
    </xf>
    <xf numFmtId="0" fontId="14" fillId="2" borderId="20" xfId="0" applyFont="1" applyFill="1" applyBorder="1" applyAlignment="1">
      <alignment horizontal="left" vertical="center" wrapText="1"/>
    </xf>
    <xf numFmtId="0" fontId="14" fillId="0" borderId="31" xfId="0" applyFont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2" borderId="23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69" fontId="14" fillId="2" borderId="22" xfId="3" applyNumberFormat="1" applyFont="1" applyFill="1" applyBorder="1" applyAlignment="1">
      <alignment horizontal="center" vertical="center" wrapText="1"/>
    </xf>
    <xf numFmtId="169" fontId="14" fillId="2" borderId="33" xfId="3" applyNumberFormat="1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167" fontId="9" fillId="3" borderId="9" xfId="3" applyNumberFormat="1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left" vertical="center" wrapText="1"/>
    </xf>
    <xf numFmtId="0" fontId="14" fillId="3" borderId="20" xfId="0" applyFont="1" applyFill="1" applyBorder="1" applyAlignment="1">
      <alignment horizontal="left" vertical="center" wrapText="1"/>
    </xf>
  </cellXfs>
  <cellStyles count="10">
    <cellStyle name="Euro" xfId="1" xr:uid="{00000000-0005-0000-0000-000000000000}"/>
    <cellStyle name="Euro 2" xfId="2" xr:uid="{00000000-0005-0000-0000-000001000000}"/>
    <cellStyle name="Millares" xfId="8" builtinId="3"/>
    <cellStyle name="Millares [0]" xfId="3" builtinId="6"/>
    <cellStyle name="Millares [0] 2" xfId="4" xr:uid="{00000000-0005-0000-0000-000004000000}"/>
    <cellStyle name="Moneda [0]" xfId="9" builtinId="7"/>
    <cellStyle name="Moneda 2" xfId="5" xr:uid="{00000000-0005-0000-0000-000005000000}"/>
    <cellStyle name="Normal" xfId="0" builtinId="0"/>
    <cellStyle name="Porcentaje" xfId="6" builtinId="5"/>
    <cellStyle name="Porcentaje 2" xfId="7" xr:uid="{00000000-0005-0000-0000-000008000000}"/>
  </cellStyles>
  <dxfs count="0"/>
  <tableStyles count="1" defaultTableStyle="TableStyleMedium9" defaultPivotStyle="PivotStyleLight16">
    <tableStyle name="Invisible" pivot="0" table="0" count="0" xr9:uid="{07A231A4-DAB6-441B-B1FA-39F45508D21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272143</xdr:colOff>
      <xdr:row>0</xdr:row>
      <xdr:rowOff>372960</xdr:rowOff>
    </xdr:from>
    <xdr:to>
      <xdr:col>1</xdr:col>
      <xdr:colOff>1476375</xdr:colOff>
      <xdr:row>1</xdr:row>
      <xdr:rowOff>1254125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43" y="372960"/>
          <a:ext cx="1966232" cy="1516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L213"/>
  <sheetViews>
    <sheetView tabSelected="1" zoomScale="70" zoomScaleNormal="70" zoomScaleSheetLayoutView="70" workbookViewId="0">
      <selection activeCell="A170" sqref="A170:C170"/>
    </sheetView>
  </sheetViews>
  <sheetFormatPr baseColWidth="10" defaultColWidth="11.44140625" defaultRowHeight="20.399999999999999" x14ac:dyDescent="0.25"/>
  <cols>
    <col min="1" max="1" width="11.44140625" style="16"/>
    <col min="2" max="2" width="24.88671875" style="16" customWidth="1"/>
    <col min="3" max="3" width="41.109375" style="16" customWidth="1"/>
    <col min="4" max="4" width="35.6640625" style="16" customWidth="1"/>
    <col min="5" max="5" width="29.44140625" style="16" customWidth="1"/>
    <col min="6" max="6" width="30.44140625" style="16" customWidth="1"/>
    <col min="7" max="7" width="29.88671875" style="16" customWidth="1"/>
    <col min="8" max="8" width="25.33203125" style="16" customWidth="1"/>
    <col min="9" max="10" width="26.109375" style="16" customWidth="1"/>
    <col min="11" max="11" width="25.109375" style="16" customWidth="1"/>
    <col min="12" max="12" width="25.109375" style="17" customWidth="1"/>
    <col min="13" max="16384" width="11.44140625" style="16"/>
  </cols>
  <sheetData>
    <row r="1" spans="1:12" ht="49.5" customHeight="1" x14ac:dyDescent="0.25">
      <c r="A1" s="99" t="s">
        <v>45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2" ht="116.1" customHeight="1" x14ac:dyDescent="0.25">
      <c r="A2" s="44"/>
      <c r="B2" s="44"/>
      <c r="C2" s="103" t="s">
        <v>46</v>
      </c>
      <c r="D2" s="103"/>
      <c r="E2" s="103"/>
      <c r="F2" s="103"/>
      <c r="G2" s="103"/>
      <c r="H2" s="103"/>
      <c r="I2" s="103"/>
      <c r="J2" s="103"/>
      <c r="K2" s="103"/>
    </row>
    <row r="3" spans="1:12" ht="39" customHeight="1" thickBot="1" x14ac:dyDescent="0.3">
      <c r="B3" s="102" t="s">
        <v>36</v>
      </c>
      <c r="C3" s="102"/>
      <c r="D3" s="102"/>
      <c r="E3" s="102"/>
      <c r="F3" s="102"/>
      <c r="G3" s="102"/>
      <c r="H3" s="102"/>
      <c r="I3" s="102"/>
      <c r="J3" s="102"/>
      <c r="K3" s="102"/>
    </row>
    <row r="4" spans="1:12" ht="33" customHeight="1" thickBot="1" x14ac:dyDescent="0.3">
      <c r="B4" s="104" t="s">
        <v>29</v>
      </c>
      <c r="C4" s="105"/>
      <c r="D4" s="39">
        <v>1541000000</v>
      </c>
      <c r="E4" s="14"/>
      <c r="F4" s="14"/>
      <c r="G4" s="14"/>
      <c r="H4" s="14"/>
      <c r="I4" s="14"/>
      <c r="J4" s="14"/>
      <c r="K4" s="1"/>
    </row>
    <row r="5" spans="1:12" ht="18" customHeight="1" x14ac:dyDescent="0.25">
      <c r="B5" s="22"/>
      <c r="C5" s="22"/>
      <c r="D5" s="23"/>
      <c r="E5" s="19"/>
      <c r="F5" s="21"/>
      <c r="G5" s="20"/>
      <c r="H5" s="20"/>
      <c r="I5" s="20"/>
      <c r="J5" s="20"/>
      <c r="K5" s="21"/>
    </row>
    <row r="6" spans="1:12" ht="18" customHeight="1" x14ac:dyDescent="0.25">
      <c r="B6" s="15" t="s">
        <v>1</v>
      </c>
      <c r="C6" s="21"/>
      <c r="D6" s="21"/>
      <c r="E6" s="48"/>
      <c r="F6" s="21"/>
      <c r="G6" s="21"/>
      <c r="H6" s="21"/>
      <c r="I6" s="21"/>
      <c r="J6" s="21"/>
      <c r="K6" s="21"/>
    </row>
    <row r="7" spans="1:12" ht="19.5" customHeight="1" thickBot="1" x14ac:dyDescent="0.3">
      <c r="B7" s="21"/>
      <c r="C7" s="24"/>
      <c r="D7" s="21"/>
      <c r="E7" s="21"/>
      <c r="F7" s="21"/>
      <c r="G7" s="21"/>
      <c r="H7" s="21"/>
      <c r="I7" s="21"/>
      <c r="J7" s="21"/>
      <c r="K7" s="21"/>
    </row>
    <row r="8" spans="1:12" ht="30" customHeight="1" x14ac:dyDescent="0.25">
      <c r="A8" s="88" t="s">
        <v>0</v>
      </c>
      <c r="B8" s="89"/>
      <c r="C8" s="89"/>
      <c r="D8" s="89" t="s">
        <v>18</v>
      </c>
      <c r="E8" s="97" t="s">
        <v>12</v>
      </c>
      <c r="F8" s="97"/>
      <c r="G8" s="97"/>
      <c r="H8" s="97"/>
      <c r="I8" s="89" t="s">
        <v>11</v>
      </c>
      <c r="J8" s="90"/>
      <c r="L8" s="16"/>
    </row>
    <row r="9" spans="1:12" ht="52.2" x14ac:dyDescent="0.25">
      <c r="A9" s="100"/>
      <c r="B9" s="101"/>
      <c r="C9" s="101"/>
      <c r="D9" s="101"/>
      <c r="E9" s="52" t="s">
        <v>42</v>
      </c>
      <c r="F9" s="54" t="s">
        <v>13</v>
      </c>
      <c r="G9" s="52" t="s">
        <v>17</v>
      </c>
      <c r="H9" s="52" t="s">
        <v>19</v>
      </c>
      <c r="I9" s="101"/>
      <c r="J9" s="106"/>
      <c r="L9" s="16"/>
    </row>
    <row r="10" spans="1:12" ht="60.75" customHeight="1" x14ac:dyDescent="0.25">
      <c r="A10" s="119">
        <v>1</v>
      </c>
      <c r="B10" s="121" t="s">
        <v>48</v>
      </c>
      <c r="C10" s="122"/>
      <c r="D10" s="125" t="s">
        <v>49</v>
      </c>
      <c r="E10" s="61" t="s">
        <v>24</v>
      </c>
      <c r="F10" s="61" t="s">
        <v>24</v>
      </c>
      <c r="G10" s="61" t="s">
        <v>24</v>
      </c>
      <c r="H10" s="61" t="s">
        <v>24</v>
      </c>
      <c r="I10" s="94" t="s">
        <v>27</v>
      </c>
      <c r="J10" s="95"/>
      <c r="K10" s="77"/>
      <c r="L10" s="77"/>
    </row>
    <row r="11" spans="1:12" ht="60.75" customHeight="1" x14ac:dyDescent="0.25">
      <c r="A11" s="120"/>
      <c r="B11" s="123"/>
      <c r="C11" s="124"/>
      <c r="D11" s="126"/>
      <c r="E11" s="61" t="s">
        <v>24</v>
      </c>
      <c r="F11" s="61" t="s">
        <v>24</v>
      </c>
      <c r="G11" s="61" t="s">
        <v>24</v>
      </c>
      <c r="H11" s="61" t="s">
        <v>24</v>
      </c>
      <c r="I11" s="127"/>
      <c r="J11" s="128"/>
      <c r="K11" s="77"/>
      <c r="L11" s="16"/>
    </row>
    <row r="12" spans="1:12" ht="60.75" customHeight="1" x14ac:dyDescent="0.25">
      <c r="A12" s="79">
        <v>2</v>
      </c>
      <c r="B12" s="145" t="s">
        <v>50</v>
      </c>
      <c r="C12" s="146"/>
      <c r="D12" s="80" t="s">
        <v>51</v>
      </c>
      <c r="E12" s="61" t="s">
        <v>24</v>
      </c>
      <c r="F12" s="61" t="s">
        <v>24</v>
      </c>
      <c r="G12" s="61" t="s">
        <v>24</v>
      </c>
      <c r="H12" s="61" t="s">
        <v>24</v>
      </c>
      <c r="I12" s="158" t="s">
        <v>27</v>
      </c>
      <c r="J12" s="159"/>
      <c r="K12" s="77"/>
      <c r="L12" s="16"/>
    </row>
    <row r="13" spans="1:12" ht="60.75" customHeight="1" x14ac:dyDescent="0.25">
      <c r="A13" s="119">
        <v>3</v>
      </c>
      <c r="B13" s="121" t="s">
        <v>52</v>
      </c>
      <c r="C13" s="122"/>
      <c r="D13" s="125" t="s">
        <v>53</v>
      </c>
      <c r="E13" s="61" t="s">
        <v>24</v>
      </c>
      <c r="F13" s="61" t="s">
        <v>24</v>
      </c>
      <c r="G13" s="61" t="s">
        <v>24</v>
      </c>
      <c r="H13" s="61" t="s">
        <v>24</v>
      </c>
      <c r="I13" s="94" t="s">
        <v>27</v>
      </c>
      <c r="J13" s="95"/>
      <c r="K13" s="77"/>
      <c r="L13" s="16"/>
    </row>
    <row r="14" spans="1:12" ht="60.75" customHeight="1" x14ac:dyDescent="0.25">
      <c r="A14" s="120"/>
      <c r="B14" s="123"/>
      <c r="C14" s="124"/>
      <c r="D14" s="126"/>
      <c r="E14" s="61" t="s">
        <v>24</v>
      </c>
      <c r="F14" s="61" t="s">
        <v>24</v>
      </c>
      <c r="G14" s="61" t="s">
        <v>24</v>
      </c>
      <c r="H14" s="61" t="s">
        <v>24</v>
      </c>
      <c r="I14" s="127"/>
      <c r="J14" s="128"/>
      <c r="K14" s="77"/>
      <c r="L14" s="16"/>
    </row>
    <row r="15" spans="1:12" ht="60.75" customHeight="1" x14ac:dyDescent="0.25">
      <c r="A15" s="79">
        <v>4</v>
      </c>
      <c r="B15" s="145" t="s">
        <v>54</v>
      </c>
      <c r="C15" s="146"/>
      <c r="D15" s="80" t="s">
        <v>55</v>
      </c>
      <c r="E15" s="61" t="s">
        <v>24</v>
      </c>
      <c r="F15" s="61" t="s">
        <v>24</v>
      </c>
      <c r="G15" s="61" t="s">
        <v>24</v>
      </c>
      <c r="H15" s="61" t="s">
        <v>24</v>
      </c>
      <c r="I15" s="158" t="s">
        <v>27</v>
      </c>
      <c r="J15" s="159"/>
      <c r="K15" s="77"/>
      <c r="L15" s="16"/>
    </row>
    <row r="16" spans="1:12" ht="60.75" customHeight="1" x14ac:dyDescent="0.25">
      <c r="A16" s="119">
        <v>5</v>
      </c>
      <c r="B16" s="121" t="s">
        <v>56</v>
      </c>
      <c r="C16" s="122"/>
      <c r="D16" s="125" t="s">
        <v>57</v>
      </c>
      <c r="E16" s="61" t="s">
        <v>24</v>
      </c>
      <c r="F16" s="61" t="s">
        <v>24</v>
      </c>
      <c r="G16" s="61" t="s">
        <v>24</v>
      </c>
      <c r="H16" s="61" t="s">
        <v>24</v>
      </c>
      <c r="I16" s="94" t="s">
        <v>27</v>
      </c>
      <c r="J16" s="95"/>
      <c r="K16" s="77"/>
      <c r="L16" s="16"/>
    </row>
    <row r="17" spans="1:12" ht="60.75" customHeight="1" x14ac:dyDescent="0.25">
      <c r="A17" s="120"/>
      <c r="B17" s="123"/>
      <c r="C17" s="124"/>
      <c r="D17" s="126"/>
      <c r="E17" s="61" t="s">
        <v>24</v>
      </c>
      <c r="F17" s="61" t="s">
        <v>24</v>
      </c>
      <c r="G17" s="61" t="s">
        <v>24</v>
      </c>
      <c r="H17" s="61" t="s">
        <v>24</v>
      </c>
      <c r="I17" s="127"/>
      <c r="J17" s="128"/>
      <c r="K17" s="77"/>
      <c r="L17" s="16"/>
    </row>
    <row r="18" spans="1:12" ht="60.75" customHeight="1" x14ac:dyDescent="0.25">
      <c r="A18" s="119">
        <v>6</v>
      </c>
      <c r="B18" s="121" t="s">
        <v>58</v>
      </c>
      <c r="C18" s="122"/>
      <c r="D18" s="125" t="s">
        <v>59</v>
      </c>
      <c r="E18" s="74" t="s">
        <v>44</v>
      </c>
      <c r="F18" s="61" t="s">
        <v>24</v>
      </c>
      <c r="G18" s="61" t="s">
        <v>24</v>
      </c>
      <c r="H18" s="61" t="s">
        <v>24</v>
      </c>
      <c r="I18" s="139" t="s">
        <v>32</v>
      </c>
      <c r="J18" s="140"/>
      <c r="K18" s="77"/>
      <c r="L18" s="16"/>
    </row>
    <row r="19" spans="1:12" ht="60.75" customHeight="1" x14ac:dyDescent="0.25">
      <c r="A19" s="120"/>
      <c r="B19" s="123"/>
      <c r="C19" s="124"/>
      <c r="D19" s="126"/>
      <c r="E19" s="74" t="s">
        <v>44</v>
      </c>
      <c r="F19" s="61" t="s">
        <v>24</v>
      </c>
      <c r="G19" s="61" t="s">
        <v>24</v>
      </c>
      <c r="H19" s="61" t="s">
        <v>24</v>
      </c>
      <c r="I19" s="143"/>
      <c r="J19" s="144"/>
      <c r="K19" s="77"/>
      <c r="L19" s="16"/>
    </row>
    <row r="20" spans="1:12" ht="60.75" customHeight="1" x14ac:dyDescent="0.25">
      <c r="A20" s="119">
        <v>7</v>
      </c>
      <c r="B20" s="121" t="s">
        <v>61</v>
      </c>
      <c r="C20" s="122"/>
      <c r="D20" s="125" t="s">
        <v>60</v>
      </c>
      <c r="E20" s="74" t="s">
        <v>44</v>
      </c>
      <c r="F20" s="61" t="s">
        <v>24</v>
      </c>
      <c r="G20" s="61" t="s">
        <v>24</v>
      </c>
      <c r="H20" s="61" t="s">
        <v>24</v>
      </c>
      <c r="I20" s="139" t="s">
        <v>32</v>
      </c>
      <c r="J20" s="140"/>
      <c r="K20" s="77"/>
      <c r="L20" s="16"/>
    </row>
    <row r="21" spans="1:12" ht="60.75" customHeight="1" x14ac:dyDescent="0.25">
      <c r="A21" s="120"/>
      <c r="B21" s="123"/>
      <c r="C21" s="124"/>
      <c r="D21" s="126"/>
      <c r="E21" s="74" t="s">
        <v>44</v>
      </c>
      <c r="F21" s="61" t="s">
        <v>24</v>
      </c>
      <c r="G21" s="61" t="s">
        <v>24</v>
      </c>
      <c r="H21" s="61" t="s">
        <v>24</v>
      </c>
      <c r="I21" s="143"/>
      <c r="J21" s="144"/>
      <c r="K21" s="77"/>
      <c r="L21" s="16"/>
    </row>
    <row r="22" spans="1:12" ht="60.75" customHeight="1" x14ac:dyDescent="0.25">
      <c r="A22" s="79">
        <v>8</v>
      </c>
      <c r="B22" s="145" t="s">
        <v>64</v>
      </c>
      <c r="C22" s="146"/>
      <c r="D22" s="80" t="s">
        <v>65</v>
      </c>
      <c r="E22" s="61" t="s">
        <v>24</v>
      </c>
      <c r="F22" s="61" t="s">
        <v>24</v>
      </c>
      <c r="G22" s="61" t="s">
        <v>24</v>
      </c>
      <c r="H22" s="61" t="s">
        <v>24</v>
      </c>
      <c r="I22" s="158" t="s">
        <v>27</v>
      </c>
      <c r="J22" s="159"/>
      <c r="K22" s="77"/>
      <c r="L22" s="16"/>
    </row>
    <row r="23" spans="1:12" ht="60.75" customHeight="1" x14ac:dyDescent="0.25">
      <c r="A23" s="119">
        <v>9</v>
      </c>
      <c r="B23" s="121" t="s">
        <v>66</v>
      </c>
      <c r="C23" s="122"/>
      <c r="D23" s="125" t="s">
        <v>67</v>
      </c>
      <c r="E23" s="61" t="s">
        <v>24</v>
      </c>
      <c r="F23" s="61" t="s">
        <v>24</v>
      </c>
      <c r="G23" s="61" t="s">
        <v>24</v>
      </c>
      <c r="H23" s="61" t="s">
        <v>24</v>
      </c>
      <c r="I23" s="94" t="s">
        <v>27</v>
      </c>
      <c r="J23" s="95"/>
      <c r="K23" s="77"/>
      <c r="L23" s="16"/>
    </row>
    <row r="24" spans="1:12" ht="60.75" customHeight="1" x14ac:dyDescent="0.25">
      <c r="A24" s="120"/>
      <c r="B24" s="123"/>
      <c r="C24" s="124"/>
      <c r="D24" s="126"/>
      <c r="E24" s="61" t="s">
        <v>24</v>
      </c>
      <c r="F24" s="61" t="s">
        <v>24</v>
      </c>
      <c r="G24" s="61" t="s">
        <v>24</v>
      </c>
      <c r="H24" s="61" t="s">
        <v>24</v>
      </c>
      <c r="I24" s="127"/>
      <c r="J24" s="128"/>
      <c r="K24" s="77"/>
      <c r="L24" s="16"/>
    </row>
    <row r="25" spans="1:12" ht="60.75" customHeight="1" x14ac:dyDescent="0.25">
      <c r="A25" s="119">
        <v>10</v>
      </c>
      <c r="B25" s="121" t="s">
        <v>69</v>
      </c>
      <c r="C25" s="122"/>
      <c r="D25" s="125" t="s">
        <v>68</v>
      </c>
      <c r="E25" s="61" t="s">
        <v>24</v>
      </c>
      <c r="F25" s="61" t="s">
        <v>24</v>
      </c>
      <c r="G25" s="61" t="s">
        <v>24</v>
      </c>
      <c r="H25" s="61" t="s">
        <v>24</v>
      </c>
      <c r="I25" s="94" t="s">
        <v>27</v>
      </c>
      <c r="J25" s="95"/>
      <c r="K25" s="77"/>
      <c r="L25" s="16"/>
    </row>
    <row r="26" spans="1:12" ht="60.75" customHeight="1" x14ac:dyDescent="0.25">
      <c r="A26" s="120"/>
      <c r="B26" s="123"/>
      <c r="C26" s="124"/>
      <c r="D26" s="126"/>
      <c r="E26" s="61" t="s">
        <v>24</v>
      </c>
      <c r="F26" s="61" t="s">
        <v>24</v>
      </c>
      <c r="G26" s="61" t="s">
        <v>24</v>
      </c>
      <c r="H26" s="61" t="s">
        <v>24</v>
      </c>
      <c r="I26" s="127"/>
      <c r="J26" s="128"/>
      <c r="K26" s="77"/>
      <c r="L26" s="16"/>
    </row>
    <row r="27" spans="1:12" ht="60.75" customHeight="1" x14ac:dyDescent="0.25">
      <c r="A27" s="79">
        <v>11</v>
      </c>
      <c r="B27" s="145" t="s">
        <v>70</v>
      </c>
      <c r="C27" s="146"/>
      <c r="D27" s="80" t="s">
        <v>71</v>
      </c>
      <c r="E27" s="61" t="s">
        <v>24</v>
      </c>
      <c r="F27" s="61" t="s">
        <v>24</v>
      </c>
      <c r="G27" s="61" t="s">
        <v>24</v>
      </c>
      <c r="H27" s="61" t="s">
        <v>24</v>
      </c>
      <c r="I27" s="158" t="s">
        <v>27</v>
      </c>
      <c r="J27" s="159"/>
      <c r="K27" s="77"/>
      <c r="L27" s="16"/>
    </row>
    <row r="28" spans="1:12" ht="60.75" customHeight="1" x14ac:dyDescent="0.25">
      <c r="A28" s="119">
        <v>12</v>
      </c>
      <c r="B28" s="121" t="s">
        <v>74</v>
      </c>
      <c r="C28" s="122"/>
      <c r="D28" s="125" t="s">
        <v>72</v>
      </c>
      <c r="E28" s="61" t="s">
        <v>24</v>
      </c>
      <c r="F28" s="61" t="s">
        <v>24</v>
      </c>
      <c r="G28" s="61" t="s">
        <v>24</v>
      </c>
      <c r="H28" s="61" t="s">
        <v>24</v>
      </c>
      <c r="I28" s="94" t="s">
        <v>27</v>
      </c>
      <c r="J28" s="95"/>
      <c r="K28" s="77"/>
      <c r="L28" s="16"/>
    </row>
    <row r="29" spans="1:12" ht="60.75" customHeight="1" x14ac:dyDescent="0.25">
      <c r="A29" s="120"/>
      <c r="B29" s="123"/>
      <c r="C29" s="124"/>
      <c r="D29" s="126"/>
      <c r="E29" s="61" t="s">
        <v>24</v>
      </c>
      <c r="F29" s="61" t="s">
        <v>24</v>
      </c>
      <c r="G29" s="61" t="s">
        <v>24</v>
      </c>
      <c r="H29" s="61" t="s">
        <v>24</v>
      </c>
      <c r="I29" s="127"/>
      <c r="J29" s="128"/>
      <c r="K29" s="77"/>
      <c r="L29" s="16"/>
    </row>
    <row r="30" spans="1:12" ht="60.75" customHeight="1" x14ac:dyDescent="0.25">
      <c r="A30" s="119">
        <v>13</v>
      </c>
      <c r="B30" s="121" t="s">
        <v>73</v>
      </c>
      <c r="C30" s="122"/>
      <c r="D30" s="125" t="s">
        <v>75</v>
      </c>
      <c r="E30" s="61" t="s">
        <v>24</v>
      </c>
      <c r="F30" s="61" t="s">
        <v>24</v>
      </c>
      <c r="G30" s="61" t="s">
        <v>24</v>
      </c>
      <c r="H30" s="61" t="s">
        <v>24</v>
      </c>
      <c r="I30" s="94" t="s">
        <v>27</v>
      </c>
      <c r="J30" s="95"/>
      <c r="K30" s="77"/>
      <c r="L30" s="16"/>
    </row>
    <row r="31" spans="1:12" ht="60.75" customHeight="1" x14ac:dyDescent="0.25">
      <c r="A31" s="120"/>
      <c r="B31" s="123"/>
      <c r="C31" s="124"/>
      <c r="D31" s="126"/>
      <c r="E31" s="61" t="s">
        <v>24</v>
      </c>
      <c r="F31" s="61" t="s">
        <v>24</v>
      </c>
      <c r="G31" s="61" t="s">
        <v>24</v>
      </c>
      <c r="H31" s="61" t="s">
        <v>24</v>
      </c>
      <c r="I31" s="127"/>
      <c r="J31" s="128"/>
      <c r="K31" s="77"/>
      <c r="L31" s="16"/>
    </row>
    <row r="32" spans="1:12" ht="60.75" customHeight="1" x14ac:dyDescent="0.25">
      <c r="A32" s="119">
        <v>14</v>
      </c>
      <c r="B32" s="121" t="s">
        <v>77</v>
      </c>
      <c r="C32" s="122"/>
      <c r="D32" s="125" t="s">
        <v>78</v>
      </c>
      <c r="E32" s="61" t="s">
        <v>24</v>
      </c>
      <c r="F32" s="61" t="s">
        <v>24</v>
      </c>
      <c r="G32" s="61" t="s">
        <v>24</v>
      </c>
      <c r="H32" s="61" t="s">
        <v>24</v>
      </c>
      <c r="I32" s="94" t="s">
        <v>27</v>
      </c>
      <c r="J32" s="95"/>
      <c r="K32" s="77"/>
      <c r="L32" s="16"/>
    </row>
    <row r="33" spans="1:12" ht="60.75" customHeight="1" x14ac:dyDescent="0.25">
      <c r="A33" s="120"/>
      <c r="B33" s="123"/>
      <c r="C33" s="124"/>
      <c r="D33" s="126"/>
      <c r="E33" s="61" t="s">
        <v>24</v>
      </c>
      <c r="F33" s="61" t="s">
        <v>24</v>
      </c>
      <c r="G33" s="61" t="s">
        <v>24</v>
      </c>
      <c r="H33" s="61" t="s">
        <v>24</v>
      </c>
      <c r="I33" s="127"/>
      <c r="J33" s="128"/>
      <c r="K33" s="77"/>
      <c r="L33" s="16"/>
    </row>
    <row r="34" spans="1:12" ht="60.75" customHeight="1" x14ac:dyDescent="0.25">
      <c r="A34" s="79">
        <v>15</v>
      </c>
      <c r="B34" s="145" t="s">
        <v>79</v>
      </c>
      <c r="C34" s="146"/>
      <c r="D34" s="80" t="s">
        <v>71</v>
      </c>
      <c r="E34" s="61" t="s">
        <v>24</v>
      </c>
      <c r="F34" s="61" t="s">
        <v>24</v>
      </c>
      <c r="G34" s="61" t="s">
        <v>24</v>
      </c>
      <c r="H34" s="61" t="s">
        <v>24</v>
      </c>
      <c r="I34" s="158" t="s">
        <v>27</v>
      </c>
      <c r="J34" s="159"/>
      <c r="K34" s="77"/>
      <c r="L34" s="16"/>
    </row>
    <row r="35" spans="1:12" ht="60.75" customHeight="1" x14ac:dyDescent="0.25">
      <c r="A35" s="119">
        <v>16</v>
      </c>
      <c r="B35" s="121" t="s">
        <v>81</v>
      </c>
      <c r="C35" s="122"/>
      <c r="D35" s="125" t="s">
        <v>82</v>
      </c>
      <c r="E35" s="61" t="s">
        <v>24</v>
      </c>
      <c r="F35" s="61" t="s">
        <v>24</v>
      </c>
      <c r="G35" s="61" t="s">
        <v>24</v>
      </c>
      <c r="H35" s="61" t="s">
        <v>24</v>
      </c>
      <c r="I35" s="94" t="s">
        <v>27</v>
      </c>
      <c r="J35" s="95"/>
      <c r="K35" s="77"/>
      <c r="L35" s="16"/>
    </row>
    <row r="36" spans="1:12" ht="60.75" customHeight="1" x14ac:dyDescent="0.25">
      <c r="A36" s="120"/>
      <c r="B36" s="123"/>
      <c r="C36" s="124"/>
      <c r="D36" s="126"/>
      <c r="E36" s="61" t="s">
        <v>24</v>
      </c>
      <c r="F36" s="61" t="s">
        <v>24</v>
      </c>
      <c r="G36" s="61" t="s">
        <v>24</v>
      </c>
      <c r="H36" s="61" t="s">
        <v>24</v>
      </c>
      <c r="I36" s="127"/>
      <c r="J36" s="128"/>
      <c r="K36" s="77"/>
      <c r="L36" s="16"/>
    </row>
    <row r="37" spans="1:12" ht="60.75" customHeight="1" x14ac:dyDescent="0.25">
      <c r="A37" s="119">
        <v>17</v>
      </c>
      <c r="B37" s="121" t="s">
        <v>83</v>
      </c>
      <c r="C37" s="122"/>
      <c r="D37" s="125" t="s">
        <v>84</v>
      </c>
      <c r="E37" s="74" t="s">
        <v>44</v>
      </c>
      <c r="F37" s="61" t="s">
        <v>24</v>
      </c>
      <c r="G37" s="61" t="s">
        <v>24</v>
      </c>
      <c r="H37" s="61" t="s">
        <v>24</v>
      </c>
      <c r="I37" s="139" t="s">
        <v>32</v>
      </c>
      <c r="J37" s="140"/>
      <c r="K37" s="77"/>
      <c r="L37" s="16"/>
    </row>
    <row r="38" spans="1:12" ht="60.75" customHeight="1" x14ac:dyDescent="0.25">
      <c r="A38" s="120"/>
      <c r="B38" s="123"/>
      <c r="C38" s="124"/>
      <c r="D38" s="126"/>
      <c r="E38" s="74" t="s">
        <v>44</v>
      </c>
      <c r="F38" s="61" t="s">
        <v>24</v>
      </c>
      <c r="G38" s="61" t="s">
        <v>24</v>
      </c>
      <c r="H38" s="61" t="s">
        <v>24</v>
      </c>
      <c r="I38" s="143"/>
      <c r="J38" s="144"/>
      <c r="K38" s="77"/>
      <c r="L38" s="16"/>
    </row>
    <row r="39" spans="1:12" ht="60.75" customHeight="1" x14ac:dyDescent="0.25">
      <c r="A39" s="119">
        <v>18</v>
      </c>
      <c r="B39" s="121" t="s">
        <v>85</v>
      </c>
      <c r="C39" s="122"/>
      <c r="D39" s="125" t="s">
        <v>86</v>
      </c>
      <c r="E39" s="61" t="s">
        <v>24</v>
      </c>
      <c r="F39" s="61" t="s">
        <v>24</v>
      </c>
      <c r="G39" s="61" t="s">
        <v>24</v>
      </c>
      <c r="H39" s="61" t="s">
        <v>24</v>
      </c>
      <c r="I39" s="94" t="s">
        <v>27</v>
      </c>
      <c r="J39" s="95"/>
      <c r="K39" s="77"/>
      <c r="L39" s="16"/>
    </row>
    <row r="40" spans="1:12" ht="60.75" customHeight="1" x14ac:dyDescent="0.25">
      <c r="A40" s="120"/>
      <c r="B40" s="123"/>
      <c r="C40" s="124"/>
      <c r="D40" s="126"/>
      <c r="E40" s="61" t="s">
        <v>24</v>
      </c>
      <c r="F40" s="61" t="s">
        <v>24</v>
      </c>
      <c r="G40" s="61" t="s">
        <v>24</v>
      </c>
      <c r="H40" s="61" t="s">
        <v>24</v>
      </c>
      <c r="I40" s="127"/>
      <c r="J40" s="128"/>
      <c r="K40" s="77"/>
      <c r="L40" s="16"/>
    </row>
    <row r="41" spans="1:12" ht="60.75" customHeight="1" x14ac:dyDescent="0.25">
      <c r="A41" s="119">
        <v>19</v>
      </c>
      <c r="B41" s="121" t="s">
        <v>87</v>
      </c>
      <c r="C41" s="122"/>
      <c r="D41" s="125" t="s">
        <v>88</v>
      </c>
      <c r="E41" s="61" t="s">
        <v>24</v>
      </c>
      <c r="F41" s="61" t="s">
        <v>24</v>
      </c>
      <c r="G41" s="61" t="s">
        <v>24</v>
      </c>
      <c r="H41" s="61" t="s">
        <v>24</v>
      </c>
      <c r="I41" s="94" t="s">
        <v>27</v>
      </c>
      <c r="J41" s="95"/>
      <c r="K41" s="77"/>
      <c r="L41" s="16"/>
    </row>
    <row r="42" spans="1:12" ht="60.75" customHeight="1" x14ac:dyDescent="0.25">
      <c r="A42" s="120"/>
      <c r="B42" s="123"/>
      <c r="C42" s="124"/>
      <c r="D42" s="126"/>
      <c r="E42" s="61" t="s">
        <v>24</v>
      </c>
      <c r="F42" s="61" t="s">
        <v>24</v>
      </c>
      <c r="G42" s="61" t="s">
        <v>24</v>
      </c>
      <c r="H42" s="61" t="s">
        <v>24</v>
      </c>
      <c r="I42" s="127"/>
      <c r="J42" s="128"/>
      <c r="K42" s="77"/>
      <c r="L42" s="16"/>
    </row>
    <row r="43" spans="1:12" ht="60.75" customHeight="1" x14ac:dyDescent="0.25">
      <c r="A43" s="79">
        <v>20</v>
      </c>
      <c r="B43" s="145" t="s">
        <v>89</v>
      </c>
      <c r="C43" s="146"/>
      <c r="D43" s="80" t="s">
        <v>90</v>
      </c>
      <c r="E43" s="61" t="s">
        <v>24</v>
      </c>
      <c r="F43" s="61" t="s">
        <v>24</v>
      </c>
      <c r="G43" s="61" t="s">
        <v>24</v>
      </c>
      <c r="H43" s="61" t="s">
        <v>24</v>
      </c>
      <c r="I43" s="158" t="s">
        <v>27</v>
      </c>
      <c r="J43" s="159"/>
      <c r="K43" s="77"/>
      <c r="L43" s="16"/>
    </row>
    <row r="44" spans="1:12" ht="60.75" customHeight="1" x14ac:dyDescent="0.25">
      <c r="A44" s="119">
        <v>21</v>
      </c>
      <c r="B44" s="121" t="s">
        <v>91</v>
      </c>
      <c r="C44" s="122"/>
      <c r="D44" s="125" t="s">
        <v>92</v>
      </c>
      <c r="E44" s="61" t="s">
        <v>24</v>
      </c>
      <c r="F44" s="61" t="s">
        <v>24</v>
      </c>
      <c r="G44" s="61" t="s">
        <v>24</v>
      </c>
      <c r="H44" s="61" t="s">
        <v>24</v>
      </c>
      <c r="I44" s="94" t="s">
        <v>27</v>
      </c>
      <c r="J44" s="95"/>
      <c r="K44" s="77"/>
      <c r="L44" s="16"/>
    </row>
    <row r="45" spans="1:12" ht="60.75" customHeight="1" x14ac:dyDescent="0.25">
      <c r="A45" s="120"/>
      <c r="B45" s="123"/>
      <c r="C45" s="124"/>
      <c r="D45" s="126"/>
      <c r="E45" s="61" t="s">
        <v>24</v>
      </c>
      <c r="F45" s="61" t="s">
        <v>24</v>
      </c>
      <c r="G45" s="61" t="s">
        <v>24</v>
      </c>
      <c r="H45" s="61" t="s">
        <v>24</v>
      </c>
      <c r="I45" s="127"/>
      <c r="J45" s="128"/>
      <c r="K45" s="77"/>
      <c r="L45" s="16"/>
    </row>
    <row r="46" spans="1:12" ht="60" customHeight="1" x14ac:dyDescent="0.25">
      <c r="A46" s="119">
        <v>22</v>
      </c>
      <c r="B46" s="121" t="s">
        <v>93</v>
      </c>
      <c r="C46" s="122"/>
      <c r="D46" s="125" t="s">
        <v>94</v>
      </c>
      <c r="E46" s="74" t="s">
        <v>44</v>
      </c>
      <c r="F46" s="61" t="s">
        <v>24</v>
      </c>
      <c r="G46" s="61" t="s">
        <v>24</v>
      </c>
      <c r="H46" s="61" t="s">
        <v>24</v>
      </c>
      <c r="I46" s="139" t="s">
        <v>32</v>
      </c>
      <c r="J46" s="140"/>
      <c r="L46" s="77"/>
    </row>
    <row r="47" spans="1:12" ht="60.75" customHeight="1" x14ac:dyDescent="0.25">
      <c r="A47" s="135"/>
      <c r="B47" s="136"/>
      <c r="C47" s="137"/>
      <c r="D47" s="138"/>
      <c r="E47" s="74" t="s">
        <v>44</v>
      </c>
      <c r="F47" s="61" t="s">
        <v>24</v>
      </c>
      <c r="G47" s="61" t="s">
        <v>24</v>
      </c>
      <c r="H47" s="61" t="s">
        <v>24</v>
      </c>
      <c r="I47" s="141"/>
      <c r="J47" s="142"/>
      <c r="L47" s="77"/>
    </row>
    <row r="48" spans="1:12" ht="60.75" customHeight="1" x14ac:dyDescent="0.25">
      <c r="A48" s="120"/>
      <c r="B48" s="123"/>
      <c r="C48" s="124"/>
      <c r="D48" s="126"/>
      <c r="E48" s="74" t="s">
        <v>44</v>
      </c>
      <c r="F48" s="61" t="s">
        <v>24</v>
      </c>
      <c r="G48" s="61" t="s">
        <v>24</v>
      </c>
      <c r="H48" s="61" t="s">
        <v>24</v>
      </c>
      <c r="I48" s="143"/>
      <c r="J48" s="144"/>
      <c r="K48" s="77"/>
      <c r="L48" s="16"/>
    </row>
    <row r="50" spans="1:12" s="28" customFormat="1" ht="32.25" customHeight="1" x14ac:dyDescent="0.25">
      <c r="A50" s="16"/>
      <c r="B50" s="26"/>
      <c r="C50" s="27"/>
      <c r="D50" s="4"/>
      <c r="E50" s="5"/>
      <c r="F50" s="5"/>
      <c r="G50" s="3"/>
      <c r="H50" s="3"/>
      <c r="I50" s="3"/>
      <c r="J50" s="3"/>
      <c r="K50" s="2"/>
      <c r="L50" s="17"/>
    </row>
    <row r="51" spans="1:12" s="28" customFormat="1" ht="3" customHeight="1" thickBot="1" x14ac:dyDescent="0.3">
      <c r="B51" s="1"/>
      <c r="C51" s="1"/>
      <c r="D51" s="1"/>
      <c r="E51" s="7"/>
      <c r="F51" s="7"/>
      <c r="G51" s="7"/>
      <c r="H51" s="7"/>
      <c r="I51" s="7"/>
      <c r="J51" s="7"/>
      <c r="L51" s="17"/>
    </row>
    <row r="52" spans="1:12" s="28" customFormat="1" ht="67.5" customHeight="1" x14ac:dyDescent="0.25">
      <c r="A52" s="88" t="s">
        <v>0</v>
      </c>
      <c r="B52" s="89"/>
      <c r="C52" s="89"/>
      <c r="D52" s="51" t="s">
        <v>3</v>
      </c>
      <c r="E52" s="51" t="s">
        <v>4</v>
      </c>
      <c r="F52" s="51" t="s">
        <v>5</v>
      </c>
      <c r="G52" s="51" t="s">
        <v>6</v>
      </c>
      <c r="H52" s="51" t="s">
        <v>14</v>
      </c>
      <c r="I52" s="51" t="s">
        <v>15</v>
      </c>
      <c r="J52" s="55" t="s">
        <v>16</v>
      </c>
      <c r="L52" s="17"/>
    </row>
    <row r="53" spans="1:12" s="28" customFormat="1" ht="61.5" customHeight="1" x14ac:dyDescent="0.25">
      <c r="A53" s="129">
        <v>1</v>
      </c>
      <c r="B53" s="131" t="str">
        <f>B10</f>
        <v>CONSORCIO INTER VIAS BRT
JGF SERVICIOS S.A.S. 50%
JGF INGENIERIA S.A.S.   50%</v>
      </c>
      <c r="C53" s="132"/>
      <c r="D53" s="45">
        <v>1675532000</v>
      </c>
      <c r="E53" s="45">
        <v>583685000</v>
      </c>
      <c r="F53" s="45">
        <v>1672702000</v>
      </c>
      <c r="G53" s="45">
        <v>196876000</v>
      </c>
      <c r="H53" s="45">
        <v>133648000</v>
      </c>
      <c r="I53" s="45">
        <v>0</v>
      </c>
      <c r="J53" s="45">
        <f t="shared" ref="J53:J91" si="0">D53-E53</f>
        <v>1091847000</v>
      </c>
      <c r="L53" s="17"/>
    </row>
    <row r="54" spans="1:12" s="28" customFormat="1" ht="63.6" customHeight="1" x14ac:dyDescent="0.25">
      <c r="A54" s="130"/>
      <c r="B54" s="133"/>
      <c r="C54" s="134"/>
      <c r="D54" s="45">
        <v>1710799000</v>
      </c>
      <c r="E54" s="45">
        <v>138093000</v>
      </c>
      <c r="F54" s="45">
        <v>1707619000</v>
      </c>
      <c r="G54" s="45">
        <v>138093000</v>
      </c>
      <c r="H54" s="45">
        <v>130694190</v>
      </c>
      <c r="I54" s="45">
        <v>0</v>
      </c>
      <c r="J54" s="45">
        <f t="shared" si="0"/>
        <v>1572706000</v>
      </c>
      <c r="L54" s="17"/>
    </row>
    <row r="55" spans="1:12" s="28" customFormat="1" ht="63.6" customHeight="1" x14ac:dyDescent="0.25">
      <c r="A55" s="78">
        <v>2</v>
      </c>
      <c r="B55" s="160" t="str">
        <f>B12</f>
        <v>CIVING INGENIEROS CONTRATISTAS SAS</v>
      </c>
      <c r="C55" s="161"/>
      <c r="D55" s="45">
        <v>5486588327</v>
      </c>
      <c r="E55" s="45">
        <v>429049438</v>
      </c>
      <c r="F55" s="45">
        <v>5371657941</v>
      </c>
      <c r="G55" s="45">
        <v>429049438</v>
      </c>
      <c r="H55" s="45">
        <v>316383628</v>
      </c>
      <c r="I55" s="45">
        <v>0</v>
      </c>
      <c r="J55" s="45">
        <f t="shared" ref="J55:J57" si="1">D55-E55</f>
        <v>5057538889</v>
      </c>
      <c r="L55" s="17"/>
    </row>
    <row r="56" spans="1:12" s="28" customFormat="1" ht="63.6" customHeight="1" x14ac:dyDescent="0.25">
      <c r="A56" s="129">
        <v>3</v>
      </c>
      <c r="B56" s="131" t="str">
        <f>B13</f>
        <v>CONSORCIO BRT VELNEC
VELNEC S.A.S. 51%
VELNEC INGENIERIA S.A.S. BIC.   49%</v>
      </c>
      <c r="C56" s="132"/>
      <c r="D56" s="45">
        <v>15491026227</v>
      </c>
      <c r="E56" s="45">
        <v>8407918956</v>
      </c>
      <c r="F56" s="45">
        <v>11011336977</v>
      </c>
      <c r="G56" s="45">
        <v>5446710828</v>
      </c>
      <c r="H56" s="45">
        <v>1222903543</v>
      </c>
      <c r="I56" s="45">
        <v>120715050</v>
      </c>
      <c r="J56" s="45">
        <f t="shared" si="1"/>
        <v>7083107271</v>
      </c>
      <c r="L56" s="17"/>
    </row>
    <row r="57" spans="1:12" s="28" customFormat="1" ht="63.6" customHeight="1" x14ac:dyDescent="0.25">
      <c r="A57" s="130"/>
      <c r="B57" s="133"/>
      <c r="C57" s="134"/>
      <c r="D57" s="45">
        <v>1745195310</v>
      </c>
      <c r="E57" s="45">
        <v>1095788439</v>
      </c>
      <c r="F57" s="45">
        <v>1478697696</v>
      </c>
      <c r="G57" s="45">
        <v>1095788439</v>
      </c>
      <c r="H57" s="45">
        <v>88185023</v>
      </c>
      <c r="I57" s="45">
        <v>698000</v>
      </c>
      <c r="J57" s="45">
        <f t="shared" si="1"/>
        <v>649406871</v>
      </c>
      <c r="L57" s="17"/>
    </row>
    <row r="58" spans="1:12" s="28" customFormat="1" ht="63.6" customHeight="1" x14ac:dyDescent="0.25">
      <c r="A58" s="78">
        <v>4</v>
      </c>
      <c r="B58" s="160" t="str">
        <f>B15</f>
        <v>INGENIERIA MASTER S.A.S.</v>
      </c>
      <c r="C58" s="161"/>
      <c r="D58" s="45">
        <v>19407646099</v>
      </c>
      <c r="E58" s="45">
        <v>6127069731</v>
      </c>
      <c r="F58" s="45">
        <v>18627620597</v>
      </c>
      <c r="G58" s="45">
        <v>5312204907</v>
      </c>
      <c r="H58" s="45">
        <v>3644478987</v>
      </c>
      <c r="I58" s="45">
        <v>248290421</v>
      </c>
      <c r="J58" s="45">
        <f t="shared" ref="J58:J60" si="2">D58-E58</f>
        <v>13280576368</v>
      </c>
      <c r="L58" s="17"/>
    </row>
    <row r="59" spans="1:12" s="28" customFormat="1" ht="63.6" customHeight="1" x14ac:dyDescent="0.25">
      <c r="A59" s="129">
        <v>5</v>
      </c>
      <c r="B59" s="131" t="str">
        <f>B16</f>
        <v>CONSORCIO INTER BRT
INPROTEKTO LTDA. 51%
COINVIAL SAS.   49%</v>
      </c>
      <c r="C59" s="132"/>
      <c r="D59" s="45">
        <v>4133157044</v>
      </c>
      <c r="E59" s="45">
        <v>1868977720</v>
      </c>
      <c r="F59" s="45">
        <v>4029508258</v>
      </c>
      <c r="G59" s="45">
        <v>1868977720</v>
      </c>
      <c r="H59" s="45">
        <v>845806182</v>
      </c>
      <c r="I59" s="45">
        <v>2200934</v>
      </c>
      <c r="J59" s="45">
        <f t="shared" si="2"/>
        <v>2264179324</v>
      </c>
      <c r="L59" s="17"/>
    </row>
    <row r="60" spans="1:12" s="28" customFormat="1" ht="63.6" customHeight="1" x14ac:dyDescent="0.25">
      <c r="A60" s="130"/>
      <c r="B60" s="133"/>
      <c r="C60" s="134"/>
      <c r="D60" s="45">
        <v>75000000</v>
      </c>
      <c r="E60" s="45">
        <v>0</v>
      </c>
      <c r="F60" s="45">
        <v>75000000</v>
      </c>
      <c r="G60" s="45">
        <v>0</v>
      </c>
      <c r="H60" s="45">
        <v>0</v>
      </c>
      <c r="I60" s="45">
        <v>0</v>
      </c>
      <c r="J60" s="45">
        <f t="shared" si="2"/>
        <v>75000000</v>
      </c>
      <c r="L60" s="17"/>
    </row>
    <row r="61" spans="1:12" s="28" customFormat="1" ht="63.6" customHeight="1" x14ac:dyDescent="0.25">
      <c r="A61" s="129">
        <v>6</v>
      </c>
      <c r="B61" s="131" t="str">
        <f>B18</f>
        <v>CONSORCIO AT INTERVENTORIA
ALIANZA INTEGRAL DE PROYECTOS SAS BIC. 90%
TALATAA PROYECTOS SAS.   10%</v>
      </c>
      <c r="C61" s="132"/>
      <c r="D61" s="45">
        <v>3584543230</v>
      </c>
      <c r="E61" s="45">
        <v>1397341006</v>
      </c>
      <c r="F61" s="45">
        <v>3584543230</v>
      </c>
      <c r="G61" s="45">
        <v>1397341006</v>
      </c>
      <c r="H61" s="45">
        <v>1185281748</v>
      </c>
      <c r="I61" s="45">
        <v>0</v>
      </c>
      <c r="J61" s="45">
        <f t="shared" ref="J61:J65" si="3">D61-E61</f>
        <v>2187202224</v>
      </c>
      <c r="L61" s="17"/>
    </row>
    <row r="62" spans="1:12" s="28" customFormat="1" ht="63.6" customHeight="1" x14ac:dyDescent="0.25">
      <c r="A62" s="130"/>
      <c r="B62" s="133"/>
      <c r="C62" s="134"/>
      <c r="D62" s="45">
        <v>1421605979</v>
      </c>
      <c r="E62" s="45">
        <v>540282199</v>
      </c>
      <c r="F62" s="45">
        <v>1081014303</v>
      </c>
      <c r="G62" s="45">
        <v>409246223</v>
      </c>
      <c r="H62" s="45">
        <v>484883622</v>
      </c>
      <c r="I62" s="45">
        <v>9280714</v>
      </c>
      <c r="J62" s="45">
        <f t="shared" si="3"/>
        <v>881323780</v>
      </c>
      <c r="L62" s="17"/>
    </row>
    <row r="63" spans="1:12" s="28" customFormat="1" ht="63.6" customHeight="1" x14ac:dyDescent="0.25">
      <c r="A63" s="129">
        <v>7</v>
      </c>
      <c r="B63" s="131" t="str">
        <f>B20</f>
        <v>CONSORCIO BRT AR
RESTREPO Y URIBE S.A.S. 50,01%
INGERTECOL S.A.S. – BIC.   49,99%</v>
      </c>
      <c r="C63" s="132"/>
      <c r="D63" s="45">
        <v>21128840096</v>
      </c>
      <c r="E63" s="45">
        <v>7617171098</v>
      </c>
      <c r="F63" s="45">
        <v>20392573018</v>
      </c>
      <c r="G63" s="45">
        <v>7617171098</v>
      </c>
      <c r="H63" s="45">
        <v>2280424077</v>
      </c>
      <c r="I63" s="45">
        <v>23351485</v>
      </c>
      <c r="J63" s="45">
        <f t="shared" si="3"/>
        <v>13511668998</v>
      </c>
      <c r="L63" s="17"/>
    </row>
    <row r="64" spans="1:12" s="28" customFormat="1" ht="63.6" customHeight="1" x14ac:dyDescent="0.25">
      <c r="A64" s="130"/>
      <c r="B64" s="133"/>
      <c r="C64" s="134"/>
      <c r="D64" s="45">
        <v>2149774458</v>
      </c>
      <c r="E64" s="45">
        <v>733565372</v>
      </c>
      <c r="F64" s="45">
        <v>2149774458</v>
      </c>
      <c r="G64" s="45">
        <v>733565372</v>
      </c>
      <c r="H64" s="45">
        <v>616858279</v>
      </c>
      <c r="I64" s="45">
        <v>105000</v>
      </c>
      <c r="J64" s="45">
        <f t="shared" si="3"/>
        <v>1416209086</v>
      </c>
      <c r="L64" s="17"/>
    </row>
    <row r="65" spans="1:12" s="28" customFormat="1" ht="63.6" customHeight="1" x14ac:dyDescent="0.25">
      <c r="A65" s="78">
        <v>8</v>
      </c>
      <c r="B65" s="160" t="str">
        <f>B22</f>
        <v>SERVICIOS DE INGENIERIA Y CONSTRUCCION SAS</v>
      </c>
      <c r="C65" s="161"/>
      <c r="D65" s="45">
        <v>24518370309</v>
      </c>
      <c r="E65" s="45">
        <v>7483072077</v>
      </c>
      <c r="F65" s="45">
        <v>22892034415</v>
      </c>
      <c r="G65" s="45">
        <v>7483072077</v>
      </c>
      <c r="H65" s="45">
        <v>2792393721</v>
      </c>
      <c r="I65" s="45">
        <v>1332700</v>
      </c>
      <c r="J65" s="45">
        <f t="shared" si="3"/>
        <v>17035298232</v>
      </c>
      <c r="L65" s="17"/>
    </row>
    <row r="66" spans="1:12" s="28" customFormat="1" ht="63.6" customHeight="1" x14ac:dyDescent="0.25">
      <c r="A66" s="129">
        <v>9</v>
      </c>
      <c r="B66" s="131" t="str">
        <f>B23</f>
        <v>CONSORCIO INTERVENTORÍA MANTENIMIENTO INFRAESTRUCTURA TRANSMILENIO.
GYG DEVELOPMENT GROUP INTERNATIONAL SAS. 70%
QATRO SAS   30%</v>
      </c>
      <c r="C66" s="132"/>
      <c r="D66" s="45">
        <v>3538211450</v>
      </c>
      <c r="E66" s="45">
        <v>546825946</v>
      </c>
      <c r="F66" s="45">
        <v>2676624108</v>
      </c>
      <c r="G66" s="45">
        <v>134466188</v>
      </c>
      <c r="H66" s="45">
        <v>162252488</v>
      </c>
      <c r="I66" s="45">
        <v>0</v>
      </c>
      <c r="J66" s="45">
        <f t="shared" ref="J66:J67" si="4">D66-E66</f>
        <v>2991385504</v>
      </c>
      <c r="L66" s="17"/>
    </row>
    <row r="67" spans="1:12" s="28" customFormat="1" ht="63.6" customHeight="1" x14ac:dyDescent="0.25">
      <c r="A67" s="130"/>
      <c r="B67" s="133"/>
      <c r="C67" s="134"/>
      <c r="D67" s="45">
        <v>698871522</v>
      </c>
      <c r="E67" s="45">
        <v>332945324</v>
      </c>
      <c r="F67" s="45">
        <v>521472470</v>
      </c>
      <c r="G67" s="45">
        <v>191298512</v>
      </c>
      <c r="H67" s="45">
        <v>174164023</v>
      </c>
      <c r="I67" s="45">
        <v>0</v>
      </c>
      <c r="J67" s="45">
        <f t="shared" si="4"/>
        <v>365926198</v>
      </c>
      <c r="L67" s="17"/>
    </row>
    <row r="68" spans="1:12" s="28" customFormat="1" ht="63.6" customHeight="1" x14ac:dyDescent="0.25">
      <c r="A68" s="129">
        <v>10</v>
      </c>
      <c r="B68" s="131" t="str">
        <f>B25</f>
        <v>CONSORCIO INTER BRT 2026
COBA B&amp;C S.A.S. 50%
INGENIERIA DE CALIDAD E INNOVACION S.A.S BIC  50%</v>
      </c>
      <c r="C68" s="132"/>
      <c r="D68" s="45">
        <v>3063009182</v>
      </c>
      <c r="E68" s="45">
        <v>2033943813</v>
      </c>
      <c r="F68" s="45">
        <v>3060309927</v>
      </c>
      <c r="G68" s="45">
        <v>2033943813</v>
      </c>
      <c r="H68" s="45">
        <v>377706878</v>
      </c>
      <c r="I68" s="45">
        <v>548554</v>
      </c>
      <c r="J68" s="45">
        <f t="shared" ref="J68:J72" si="5">D68-E68</f>
        <v>1029065369</v>
      </c>
      <c r="L68" s="17"/>
    </row>
    <row r="69" spans="1:12" s="28" customFormat="1" ht="63.6" customHeight="1" x14ac:dyDescent="0.25">
      <c r="A69" s="130"/>
      <c r="B69" s="133"/>
      <c r="C69" s="134"/>
      <c r="D69" s="45">
        <v>1100000000</v>
      </c>
      <c r="E69" s="45">
        <v>0</v>
      </c>
      <c r="F69" s="45">
        <v>1100000000</v>
      </c>
      <c r="G69" s="45">
        <v>0</v>
      </c>
      <c r="H69" s="45">
        <v>0</v>
      </c>
      <c r="I69" s="45">
        <v>0</v>
      </c>
      <c r="J69" s="45">
        <f t="shared" si="5"/>
        <v>1100000000</v>
      </c>
      <c r="L69" s="17"/>
    </row>
    <row r="70" spans="1:12" s="28" customFormat="1" ht="63.6" customHeight="1" x14ac:dyDescent="0.25">
      <c r="A70" s="78">
        <v>11</v>
      </c>
      <c r="B70" s="160" t="str">
        <f>B27</f>
        <v>SCAIN ADMINISTRACION E INGENIERIA SAS BIC</v>
      </c>
      <c r="C70" s="161"/>
      <c r="D70" s="45">
        <v>40758952727</v>
      </c>
      <c r="E70" s="45">
        <v>380171439</v>
      </c>
      <c r="F70" s="45">
        <v>36247049249</v>
      </c>
      <c r="G70" s="45">
        <v>380171439</v>
      </c>
      <c r="H70" s="45">
        <v>3372915602</v>
      </c>
      <c r="I70" s="45">
        <v>0</v>
      </c>
      <c r="J70" s="45">
        <f t="shared" si="5"/>
        <v>40378781288</v>
      </c>
      <c r="L70" s="17"/>
    </row>
    <row r="71" spans="1:12" s="28" customFormat="1" ht="63.6" customHeight="1" x14ac:dyDescent="0.25">
      <c r="A71" s="129">
        <v>12</v>
      </c>
      <c r="B71" s="131" t="str">
        <f>B28</f>
        <v>CONSORCIO INTER INFRABRT
C&amp;M CONSULTORES S.A.S. 90%
CONSULTORA CENTRAL S.A.S. BIC.   10%</v>
      </c>
      <c r="C71" s="132"/>
      <c r="D71" s="45">
        <v>32703019746</v>
      </c>
      <c r="E71" s="45">
        <v>6533053871</v>
      </c>
      <c r="F71" s="45">
        <v>21442671491</v>
      </c>
      <c r="G71" s="45">
        <v>6489808610</v>
      </c>
      <c r="H71" s="45">
        <v>1538405349</v>
      </c>
      <c r="I71" s="45">
        <v>7581081.6200000001</v>
      </c>
      <c r="J71" s="45">
        <f t="shared" si="5"/>
        <v>26169965875</v>
      </c>
      <c r="L71" s="17"/>
    </row>
    <row r="72" spans="1:12" s="28" customFormat="1" ht="63.6" customHeight="1" x14ac:dyDescent="0.25">
      <c r="A72" s="130"/>
      <c r="B72" s="133"/>
      <c r="C72" s="134"/>
      <c r="D72" s="45">
        <v>3978514829</v>
      </c>
      <c r="E72" s="45">
        <v>1554310340</v>
      </c>
      <c r="F72" s="45">
        <v>3978514829</v>
      </c>
      <c r="G72" s="45">
        <v>1554310340</v>
      </c>
      <c r="H72" s="45">
        <v>1725419538</v>
      </c>
      <c r="I72" s="45">
        <v>1247.01</v>
      </c>
      <c r="J72" s="45">
        <f t="shared" si="5"/>
        <v>2424204489</v>
      </c>
      <c r="L72" s="17"/>
    </row>
    <row r="73" spans="1:12" s="28" customFormat="1" ht="63.6" customHeight="1" x14ac:dyDescent="0.25">
      <c r="A73" s="129">
        <v>13</v>
      </c>
      <c r="B73" s="131" t="str">
        <f>B30</f>
        <v>CONSORCIO TRANSPORTE MASIVO UGGB.
UG21 ENGINEERING S.A.S. 90%
GB10 CONSULTORES S.A.S.   10%</v>
      </c>
      <c r="C73" s="132"/>
      <c r="D73" s="45">
        <v>1000000</v>
      </c>
      <c r="E73" s="45">
        <v>0</v>
      </c>
      <c r="F73" s="45">
        <v>1000000</v>
      </c>
      <c r="G73" s="45">
        <v>0</v>
      </c>
      <c r="H73" s="45">
        <v>0</v>
      </c>
      <c r="I73" s="45">
        <v>0</v>
      </c>
      <c r="J73" s="45">
        <f t="shared" ref="J73:J74" si="6">D73-E73</f>
        <v>1000000</v>
      </c>
      <c r="L73" s="17"/>
    </row>
    <row r="74" spans="1:12" s="28" customFormat="1" ht="63.6" customHeight="1" x14ac:dyDescent="0.25">
      <c r="A74" s="130"/>
      <c r="B74" s="133"/>
      <c r="C74" s="134"/>
      <c r="D74" s="45">
        <v>1296975040</v>
      </c>
      <c r="E74" s="45">
        <v>105572521</v>
      </c>
      <c r="F74" s="45">
        <v>1287079923</v>
      </c>
      <c r="G74" s="45">
        <v>105572521</v>
      </c>
      <c r="H74" s="45">
        <v>335300668</v>
      </c>
      <c r="I74" s="45">
        <v>0</v>
      </c>
      <c r="J74" s="45">
        <f t="shared" si="6"/>
        <v>1191402519</v>
      </c>
      <c r="L74" s="17"/>
    </row>
    <row r="75" spans="1:12" s="28" customFormat="1" ht="63.6" customHeight="1" x14ac:dyDescent="0.25">
      <c r="A75" s="129">
        <v>14</v>
      </c>
      <c r="B75" s="131" t="str">
        <f>B32</f>
        <v>CONSORCIO TM BOGOTA
ECG INGENIERIA S.A.S.  50%
INGENIERÍA CENIT DE CÓRDOBA Y ASOCIADOS S.A.S.   50%</v>
      </c>
      <c r="C75" s="132"/>
      <c r="D75" s="45">
        <v>5815074842</v>
      </c>
      <c r="E75" s="45">
        <v>3186985153</v>
      </c>
      <c r="F75" s="45">
        <v>5802575333</v>
      </c>
      <c r="G75" s="45">
        <v>3186985153</v>
      </c>
      <c r="H75" s="45">
        <v>1983410517</v>
      </c>
      <c r="I75" s="45">
        <v>28746812</v>
      </c>
      <c r="J75" s="45">
        <f t="shared" ref="J75:J77" si="7">D75-E75</f>
        <v>2628089689</v>
      </c>
      <c r="L75" s="17"/>
    </row>
    <row r="76" spans="1:12" s="28" customFormat="1" ht="63.6" customHeight="1" x14ac:dyDescent="0.25">
      <c r="A76" s="130"/>
      <c r="B76" s="133"/>
      <c r="C76" s="134"/>
      <c r="D76" s="45">
        <v>703583200</v>
      </c>
      <c r="E76" s="45">
        <v>2933478</v>
      </c>
      <c r="F76" s="45">
        <v>703583200</v>
      </c>
      <c r="G76" s="45">
        <v>2933478</v>
      </c>
      <c r="H76" s="45">
        <v>999722</v>
      </c>
      <c r="I76" s="45">
        <v>0</v>
      </c>
      <c r="J76" s="45">
        <f t="shared" si="7"/>
        <v>700649722</v>
      </c>
      <c r="L76" s="17"/>
    </row>
    <row r="77" spans="1:12" s="28" customFormat="1" ht="63.6" customHeight="1" x14ac:dyDescent="0.25">
      <c r="A77" s="78">
        <v>15</v>
      </c>
      <c r="B77" s="160" t="str">
        <f>B34</f>
        <v>A&amp;G PLUS SAS BIC</v>
      </c>
      <c r="C77" s="161"/>
      <c r="D77" s="45">
        <v>592473018</v>
      </c>
      <c r="E77" s="45">
        <v>4125336</v>
      </c>
      <c r="F77" s="45">
        <v>592473018</v>
      </c>
      <c r="G77" s="45">
        <v>4125336</v>
      </c>
      <c r="H77" s="45">
        <v>161573880</v>
      </c>
      <c r="I77" s="45">
        <v>0</v>
      </c>
      <c r="J77" s="45">
        <f t="shared" si="7"/>
        <v>588347682</v>
      </c>
      <c r="L77" s="17"/>
    </row>
    <row r="78" spans="1:12" s="28" customFormat="1" ht="63.6" customHeight="1" x14ac:dyDescent="0.25">
      <c r="A78" s="129">
        <v>16</v>
      </c>
      <c r="B78" s="131" t="str">
        <f>B35</f>
        <v>CONSORCIO INTER MANTENIMIENTO BRT.
INGEPLAN.CO INFRAESTRUCTURA S.A.S. BIC.  50%
INGENIERIA CONSULTORIA Y PLANEACION S A.   50%</v>
      </c>
      <c r="C78" s="132"/>
      <c r="D78" s="45">
        <v>902862860</v>
      </c>
      <c r="E78" s="45">
        <v>84331598</v>
      </c>
      <c r="F78" s="45">
        <v>120966696</v>
      </c>
      <c r="G78" s="45">
        <v>13241258</v>
      </c>
      <c r="H78" s="45">
        <v>385117981</v>
      </c>
      <c r="I78" s="45">
        <v>0</v>
      </c>
      <c r="J78" s="45">
        <f t="shared" ref="J78:J79" si="8">D78-E78</f>
        <v>818531262</v>
      </c>
      <c r="L78" s="17"/>
    </row>
    <row r="79" spans="1:12" s="28" customFormat="1" ht="63.6" customHeight="1" x14ac:dyDescent="0.25">
      <c r="A79" s="130"/>
      <c r="B79" s="133"/>
      <c r="C79" s="134"/>
      <c r="D79" s="45">
        <v>26372390091</v>
      </c>
      <c r="E79" s="45">
        <v>5469012748</v>
      </c>
      <c r="F79" s="45">
        <v>23899346988</v>
      </c>
      <c r="G79" s="45">
        <v>5009333917</v>
      </c>
      <c r="H79" s="45">
        <v>4450310685</v>
      </c>
      <c r="I79" s="45">
        <v>13223</v>
      </c>
      <c r="J79" s="45">
        <f t="shared" si="8"/>
        <v>20903377343</v>
      </c>
      <c r="L79" s="17"/>
    </row>
    <row r="80" spans="1:12" s="28" customFormat="1" ht="63.6" customHeight="1" x14ac:dyDescent="0.25">
      <c r="A80" s="129">
        <v>17</v>
      </c>
      <c r="B80" s="131" t="str">
        <f>B37</f>
        <v>CONSORCIO VIAL MASIVO 
NOGAALL S.A.S.  50%
MC CONSULTORES Y CONSTRUCTORES S.A.S..   50%</v>
      </c>
      <c r="C80" s="132"/>
      <c r="D80" s="45">
        <v>7617540587</v>
      </c>
      <c r="E80" s="45">
        <v>2601840850</v>
      </c>
      <c r="F80" s="45">
        <v>4281264511</v>
      </c>
      <c r="G80" s="45">
        <v>838181904</v>
      </c>
      <c r="H80" s="45">
        <v>696804368</v>
      </c>
      <c r="I80" s="45">
        <v>69581923</v>
      </c>
      <c r="J80" s="45">
        <f t="shared" ref="J80:J81" si="9">D80-E80</f>
        <v>5015699737</v>
      </c>
      <c r="L80" s="17"/>
    </row>
    <row r="81" spans="1:12" s="28" customFormat="1" ht="63.6" customHeight="1" x14ac:dyDescent="0.25">
      <c r="A81" s="130"/>
      <c r="B81" s="133"/>
      <c r="C81" s="134"/>
      <c r="D81" s="45">
        <v>917186889</v>
      </c>
      <c r="E81" s="45">
        <v>555277248</v>
      </c>
      <c r="F81" s="45">
        <v>719340647</v>
      </c>
      <c r="G81" s="45">
        <v>112022914</v>
      </c>
      <c r="H81" s="45">
        <v>119996723</v>
      </c>
      <c r="I81" s="45">
        <v>43853915</v>
      </c>
      <c r="J81" s="45">
        <f t="shared" si="9"/>
        <v>361909641</v>
      </c>
      <c r="L81" s="17"/>
    </row>
    <row r="82" spans="1:12" s="28" customFormat="1" ht="63.6" customHeight="1" x14ac:dyDescent="0.25">
      <c r="A82" s="129">
        <v>18</v>
      </c>
      <c r="B82" s="131" t="str">
        <f>B39</f>
        <v>CONSORCIO INTERMILENIO BRT
GAVINCO INGENIEROS CONSULTORES SAS.  49,9%
ING INGENIERÍA S.A.S  50,1%</v>
      </c>
      <c r="C82" s="132"/>
      <c r="D82" s="45">
        <v>18528171236</v>
      </c>
      <c r="E82" s="45">
        <v>9453259260</v>
      </c>
      <c r="F82" s="45">
        <v>17184923444</v>
      </c>
      <c r="G82" s="45">
        <v>6752862558</v>
      </c>
      <c r="H82" s="45">
        <v>1351407501</v>
      </c>
      <c r="I82" s="45">
        <v>630085731</v>
      </c>
      <c r="J82" s="45">
        <f t="shared" ref="J82:J83" si="10">D82-E82</f>
        <v>9074911976</v>
      </c>
      <c r="L82" s="17"/>
    </row>
    <row r="83" spans="1:12" s="28" customFormat="1" ht="63.6" customHeight="1" x14ac:dyDescent="0.25">
      <c r="A83" s="130"/>
      <c r="B83" s="133"/>
      <c r="C83" s="134"/>
      <c r="D83" s="45">
        <v>14720201957</v>
      </c>
      <c r="E83" s="45">
        <v>10102457108</v>
      </c>
      <c r="F83" s="45">
        <v>9651830622</v>
      </c>
      <c r="G83" s="45">
        <v>2973086980</v>
      </c>
      <c r="H83" s="45">
        <v>1126588023</v>
      </c>
      <c r="I83" s="45">
        <v>153317755.30000001</v>
      </c>
      <c r="J83" s="45">
        <f t="shared" si="10"/>
        <v>4617744849</v>
      </c>
      <c r="L83" s="17"/>
    </row>
    <row r="84" spans="1:12" s="28" customFormat="1" ht="63.6" customHeight="1" x14ac:dyDescent="0.25">
      <c r="A84" s="129">
        <v>19</v>
      </c>
      <c r="B84" s="131" t="str">
        <f>B41</f>
        <v>CONSORCIO URBANO LA-PA
CICA INGENIERIA E INTERVENTORIA S.A.S.   50%
GEAGOR S.A.S BIC  50%</v>
      </c>
      <c r="C84" s="132"/>
      <c r="D84" s="45">
        <v>1326229805</v>
      </c>
      <c r="E84" s="45">
        <v>66432421</v>
      </c>
      <c r="F84" s="45">
        <v>1295324793</v>
      </c>
      <c r="G84" s="45">
        <v>64332421</v>
      </c>
      <c r="H84" s="45">
        <v>69797384</v>
      </c>
      <c r="I84" s="45">
        <v>1596760</v>
      </c>
      <c r="J84" s="45">
        <f t="shared" ref="J84:J88" si="11">D84-E84</f>
        <v>1259797384</v>
      </c>
      <c r="L84" s="17"/>
    </row>
    <row r="85" spans="1:12" s="28" customFormat="1" ht="63.6" customHeight="1" x14ac:dyDescent="0.25">
      <c r="A85" s="130"/>
      <c r="B85" s="133"/>
      <c r="C85" s="134"/>
      <c r="D85" s="45">
        <v>1880816458</v>
      </c>
      <c r="E85" s="45">
        <v>508199725</v>
      </c>
      <c r="F85" s="45">
        <v>1253806099</v>
      </c>
      <c r="G85" s="45">
        <v>249418162</v>
      </c>
      <c r="H85" s="45">
        <v>490569156</v>
      </c>
      <c r="I85" s="45">
        <v>8577008</v>
      </c>
      <c r="J85" s="45">
        <f t="shared" si="11"/>
        <v>1372616733</v>
      </c>
      <c r="L85" s="17"/>
    </row>
    <row r="86" spans="1:12" s="28" customFormat="1" ht="63.6" customHeight="1" x14ac:dyDescent="0.25">
      <c r="A86" s="78">
        <v>20</v>
      </c>
      <c r="B86" s="160" t="str">
        <f>B43</f>
        <v>INGEANDINA CONSULTORES DE INGENIERÍA S.A.S.</v>
      </c>
      <c r="C86" s="161"/>
      <c r="D86" s="45">
        <v>22992858000</v>
      </c>
      <c r="E86" s="45">
        <v>2842682000</v>
      </c>
      <c r="F86" s="45">
        <v>11983822000</v>
      </c>
      <c r="G86" s="45">
        <v>2842682000</v>
      </c>
      <c r="H86" s="45">
        <v>2640223000</v>
      </c>
      <c r="I86" s="45">
        <v>69000</v>
      </c>
      <c r="J86" s="45">
        <f t="shared" si="11"/>
        <v>20150176000</v>
      </c>
      <c r="L86" s="17"/>
    </row>
    <row r="87" spans="1:12" s="28" customFormat="1" ht="63.6" customHeight="1" x14ac:dyDescent="0.25">
      <c r="A87" s="129">
        <v>21</v>
      </c>
      <c r="B87" s="131" t="str">
        <f>B44</f>
        <v>CONSORCIO TRANSITO CAPITAL
DAIMCO S.A.S. 90%
DIBENEM S.A.S.  10%</v>
      </c>
      <c r="C87" s="132"/>
      <c r="D87" s="45">
        <v>5899508115</v>
      </c>
      <c r="E87" s="45">
        <v>1042771845</v>
      </c>
      <c r="F87" s="45">
        <v>5127421143</v>
      </c>
      <c r="G87" s="45">
        <v>122136144</v>
      </c>
      <c r="H87" s="45">
        <v>2430020436</v>
      </c>
      <c r="I87" s="45">
        <v>51711349</v>
      </c>
      <c r="J87" s="45">
        <f t="shared" si="11"/>
        <v>4856736270</v>
      </c>
      <c r="L87" s="17"/>
    </row>
    <row r="88" spans="1:12" s="28" customFormat="1" ht="63.6" customHeight="1" x14ac:dyDescent="0.25">
      <c r="A88" s="130"/>
      <c r="B88" s="133"/>
      <c r="C88" s="134"/>
      <c r="D88" s="45">
        <v>1595146813</v>
      </c>
      <c r="E88" s="45">
        <v>216038138</v>
      </c>
      <c r="F88" s="45">
        <v>1595146813</v>
      </c>
      <c r="G88" s="45">
        <v>98654384</v>
      </c>
      <c r="H88" s="45">
        <v>373659737</v>
      </c>
      <c r="I88" s="45">
        <v>1562500</v>
      </c>
      <c r="J88" s="45">
        <f t="shared" si="11"/>
        <v>1379108675</v>
      </c>
      <c r="L88" s="17"/>
    </row>
    <row r="89" spans="1:12" s="28" customFormat="1" ht="61.5" customHeight="1" x14ac:dyDescent="0.25">
      <c r="A89" s="129">
        <v>22</v>
      </c>
      <c r="B89" s="131" t="str">
        <f>B46</f>
        <v>CONSORCIO INTERVENTOR PROES - SOTA
PROES LATAM S.A.S.   60%
PROES COLOMBIA S.A.S  10%
SOCIEDAD TECNICA SOTA S.A.S.   30%</v>
      </c>
      <c r="C89" s="132"/>
      <c r="D89" s="45">
        <v>801489876</v>
      </c>
      <c r="E89" s="45">
        <v>453102212</v>
      </c>
      <c r="F89" s="45">
        <v>430693877</v>
      </c>
      <c r="G89" s="45">
        <v>123795151</v>
      </c>
      <c r="H89" s="45">
        <v>77181992</v>
      </c>
      <c r="I89" s="45">
        <v>58939</v>
      </c>
      <c r="J89" s="45">
        <f t="shared" si="0"/>
        <v>348387664</v>
      </c>
      <c r="L89" s="17"/>
    </row>
    <row r="90" spans="1:12" s="28" customFormat="1" ht="61.5" customHeight="1" x14ac:dyDescent="0.25">
      <c r="A90" s="147"/>
      <c r="B90" s="148"/>
      <c r="C90" s="149"/>
      <c r="D90" s="45">
        <v>889459831</v>
      </c>
      <c r="E90" s="45">
        <v>490918395</v>
      </c>
      <c r="F90" s="45">
        <v>889459831</v>
      </c>
      <c r="G90" s="45">
        <v>86589065</v>
      </c>
      <c r="H90" s="45">
        <v>86518124</v>
      </c>
      <c r="I90" s="45">
        <v>4120428</v>
      </c>
      <c r="J90" s="45">
        <f t="shared" ref="J90" si="12">D90-E90</f>
        <v>398541436</v>
      </c>
      <c r="L90" s="17"/>
    </row>
    <row r="91" spans="1:12" s="28" customFormat="1" ht="61.5" customHeight="1" x14ac:dyDescent="0.25">
      <c r="A91" s="130"/>
      <c r="B91" s="133"/>
      <c r="C91" s="134"/>
      <c r="D91" s="45">
        <v>7792878057.9300003</v>
      </c>
      <c r="E91" s="45">
        <v>5000208373.1999998</v>
      </c>
      <c r="F91" s="45">
        <v>5388431829.6800003</v>
      </c>
      <c r="G91" s="45">
        <v>2140233797.7</v>
      </c>
      <c r="H91" s="45">
        <v>831615078.67999995</v>
      </c>
      <c r="I91" s="45">
        <v>202501396.78999999</v>
      </c>
      <c r="J91" s="45">
        <f t="shared" si="0"/>
        <v>2792669684.7300005</v>
      </c>
      <c r="L91" s="17"/>
    </row>
    <row r="92" spans="1:12" s="28" customFormat="1" ht="24" customHeight="1" x14ac:dyDescent="0.25">
      <c r="A92" s="62"/>
      <c r="B92" s="63"/>
      <c r="C92" s="63"/>
      <c r="D92" s="64"/>
      <c r="E92" s="64"/>
      <c r="F92" s="64"/>
      <c r="G92" s="64"/>
      <c r="H92" s="64"/>
      <c r="I92" s="64"/>
      <c r="J92" s="64"/>
      <c r="L92" s="17"/>
    </row>
    <row r="93" spans="1:12" s="9" customFormat="1" ht="20.100000000000001" customHeight="1" thickBot="1" x14ac:dyDescent="0.3">
      <c r="A93" s="16"/>
      <c r="B93" s="46" t="s">
        <v>7</v>
      </c>
      <c r="C93" s="29"/>
      <c r="D93" s="30"/>
      <c r="E93" s="16"/>
      <c r="F93" s="31"/>
      <c r="G93" s="8"/>
      <c r="H93" s="8"/>
      <c r="I93" s="8"/>
      <c r="J93" s="8"/>
      <c r="K93" s="16"/>
      <c r="L93" s="11"/>
    </row>
    <row r="94" spans="1:12" s="9" customFormat="1" ht="45.75" customHeight="1" thickBot="1" x14ac:dyDescent="0.3">
      <c r="A94" s="16"/>
      <c r="B94" s="156" t="s">
        <v>30</v>
      </c>
      <c r="C94" s="157"/>
      <c r="D94" s="66">
        <f>D4*100%</f>
        <v>1541000000</v>
      </c>
      <c r="E94" s="8"/>
      <c r="F94" s="8"/>
      <c r="G94" s="8"/>
      <c r="H94" s="8"/>
      <c r="I94" s="8"/>
      <c r="J94" s="8"/>
      <c r="K94" s="16"/>
      <c r="L94" s="11"/>
    </row>
    <row r="95" spans="1:12" s="9" customFormat="1" ht="25.5" customHeight="1" x14ac:dyDescent="0.25">
      <c r="A95" s="16"/>
      <c r="B95" s="68"/>
      <c r="C95" s="68"/>
      <c r="D95" s="69"/>
      <c r="E95" s="8"/>
      <c r="F95" s="8"/>
      <c r="G95" s="8"/>
      <c r="H95" s="8"/>
      <c r="I95" s="8"/>
      <c r="J95" s="8"/>
      <c r="K95" s="16"/>
      <c r="L95" s="11"/>
    </row>
    <row r="96" spans="1:12" s="9" customFormat="1" ht="21" thickBot="1" x14ac:dyDescent="0.3">
      <c r="A96" s="28"/>
      <c r="B96" s="96" t="s">
        <v>8</v>
      </c>
      <c r="C96" s="96"/>
      <c r="D96" s="96"/>
      <c r="E96" s="7"/>
      <c r="F96" s="7"/>
      <c r="G96" s="7"/>
      <c r="H96" s="7"/>
      <c r="I96" s="7"/>
      <c r="J96" s="7"/>
      <c r="K96" s="28"/>
      <c r="L96" s="17"/>
    </row>
    <row r="97" spans="1:12" s="9" customFormat="1" ht="32.25" customHeight="1" x14ac:dyDescent="0.25">
      <c r="A97" s="150" t="s">
        <v>0</v>
      </c>
      <c r="B97" s="151"/>
      <c r="C97" s="152"/>
      <c r="D97" s="97" t="s">
        <v>2</v>
      </c>
      <c r="E97" s="97"/>
      <c r="F97" s="97"/>
      <c r="G97" s="97"/>
      <c r="H97" s="97"/>
      <c r="I97" s="97"/>
      <c r="J97" s="97"/>
      <c r="K97" s="98"/>
      <c r="L97" s="17"/>
    </row>
    <row r="98" spans="1:12" s="9" customFormat="1" ht="102" customHeight="1" x14ac:dyDescent="0.25">
      <c r="A98" s="153"/>
      <c r="B98" s="154"/>
      <c r="C98" s="155"/>
      <c r="D98" s="72" t="s">
        <v>38</v>
      </c>
      <c r="E98" s="54" t="s">
        <v>37</v>
      </c>
      <c r="F98" s="72" t="s">
        <v>39</v>
      </c>
      <c r="G98" s="72" t="s">
        <v>47</v>
      </c>
      <c r="H98" s="54" t="s">
        <v>40</v>
      </c>
      <c r="I98" s="54" t="s">
        <v>41</v>
      </c>
      <c r="J98" s="73" t="s">
        <v>34</v>
      </c>
      <c r="K98" s="71" t="s">
        <v>31</v>
      </c>
      <c r="L98" s="17"/>
    </row>
    <row r="99" spans="1:12" s="9" customFormat="1" ht="107.25" customHeight="1" x14ac:dyDescent="0.25">
      <c r="A99" s="65">
        <v>1</v>
      </c>
      <c r="B99" s="145" t="str">
        <f>B10</f>
        <v>CONSORCIO INTER VIAS BRT
JGF SERVICIOS S.A.S. 50%
JGF INGENIERIA S.A.S.   50%</v>
      </c>
      <c r="C99" s="146"/>
      <c r="D99" s="58">
        <f>(((E53*0.5)+(E54*0.5))/((D53*0.5)+(D54*0.5)))</f>
        <v>0.2131445508427853</v>
      </c>
      <c r="E99" s="59">
        <f>((F53*0.5)+(F54*0.5))/((G53*0.5)+(G54*0.5))</f>
        <v>10.09144428290379</v>
      </c>
      <c r="F99" s="67" t="s">
        <v>43</v>
      </c>
      <c r="G99" s="60">
        <f>((F54-G54)+(F53-G53))</f>
        <v>3045352000</v>
      </c>
      <c r="H99" s="58">
        <f>(((H53*0.5)+(H54*0.5))/((J53*0.5)+(J54*0.5)))</f>
        <v>9.9206955162835939E-2</v>
      </c>
      <c r="I99" s="58">
        <f>((H53*0.5)+(H54*0.5))/((D53*0.5)+(D54*0.5))</f>
        <v>7.8061533264172936E-2</v>
      </c>
      <c r="J99" s="53" t="s">
        <v>25</v>
      </c>
      <c r="K99" s="56" t="s">
        <v>27</v>
      </c>
      <c r="L99" s="17"/>
    </row>
    <row r="100" spans="1:12" s="9" customFormat="1" ht="107.25" customHeight="1" x14ac:dyDescent="0.25">
      <c r="A100" s="65">
        <v>2</v>
      </c>
      <c r="B100" s="145" t="str">
        <f>B12</f>
        <v>CIVING INGENIEROS CONTRATISTAS SAS</v>
      </c>
      <c r="C100" s="146"/>
      <c r="D100" s="58">
        <f>((((E55))/(((D55)))))</f>
        <v>7.8199677546173588E-2</v>
      </c>
      <c r="E100" s="59">
        <f>(((F55))/((G55)))</f>
        <v>12.519904386869282</v>
      </c>
      <c r="F100" s="67" t="s">
        <v>43</v>
      </c>
      <c r="G100" s="60">
        <f>((F55-G55))</f>
        <v>4942608503</v>
      </c>
      <c r="H100" s="58">
        <f>(((H55))/((J55)))</f>
        <v>6.2556835437909367E-2</v>
      </c>
      <c r="I100" s="58">
        <f>((H55))/((D55))</f>
        <v>5.7664911078355814E-2</v>
      </c>
      <c r="J100" s="53" t="s">
        <v>25</v>
      </c>
      <c r="K100" s="56" t="s">
        <v>27</v>
      </c>
      <c r="L100" s="17"/>
    </row>
    <row r="101" spans="1:12" s="9" customFormat="1" ht="107.25" customHeight="1" x14ac:dyDescent="0.25">
      <c r="A101" s="65">
        <v>3</v>
      </c>
      <c r="B101" s="145" t="str">
        <f>B13</f>
        <v>CONSORCIO BRT VELNEC
VELNEC S.A.S. 51%
VELNEC INGENIERIA S.A.S. BIC.   49%</v>
      </c>
      <c r="C101" s="146"/>
      <c r="D101" s="58">
        <f>(((E56*0.51)+(E57*0.49))/((D56*0.51)+(D57*0.49)))</f>
        <v>0.55107497409568773</v>
      </c>
      <c r="E101" s="59">
        <f>((F56*0.51)+(F57*0.49))/((G56*0.51)+(G57*0.49))</f>
        <v>1.9127616825503584</v>
      </c>
      <c r="F101" s="67">
        <f>(((H56*0.51)+(H57*0.49))/((I56*0.51)+(I57*0.49)))</f>
        <v>10.772525698775183</v>
      </c>
      <c r="G101" s="60">
        <f>((F57-G57)+(F56-G56))</f>
        <v>5947535406</v>
      </c>
      <c r="H101" s="58">
        <f>(((H56*0.51)+(H57*0.49))/((J56*0.51)+(J57*0.49)))</f>
        <v>0.16966683800845042</v>
      </c>
      <c r="I101" s="58">
        <f>((H56*0.51)+(H57*0.49))/((D56*0.51)+(D57*0.49))</f>
        <v>7.6167689648046349E-2</v>
      </c>
      <c r="J101" s="53" t="s">
        <v>25</v>
      </c>
      <c r="K101" s="56" t="s">
        <v>27</v>
      </c>
      <c r="L101" s="17"/>
    </row>
    <row r="102" spans="1:12" s="9" customFormat="1" ht="107.25" customHeight="1" x14ac:dyDescent="0.25">
      <c r="A102" s="65">
        <v>4</v>
      </c>
      <c r="B102" s="145" t="str">
        <f>B15</f>
        <v>INGENIERIA MASTER S.A.S.</v>
      </c>
      <c r="C102" s="146"/>
      <c r="D102" s="58">
        <f>((((E58))/(((D58)))))</f>
        <v>0.3157039086422595</v>
      </c>
      <c r="E102" s="59">
        <f>(((F58))/((G58)))</f>
        <v>3.5065704209666322</v>
      </c>
      <c r="F102" s="67">
        <f>((((H58))/((I58))))</f>
        <v>14.678290738409116</v>
      </c>
      <c r="G102" s="60">
        <f>((F58-G58))</f>
        <v>13315415690</v>
      </c>
      <c r="H102" s="58">
        <f>(((H58))/((J58)))</f>
        <v>0.27442174842512829</v>
      </c>
      <c r="I102" s="58">
        <f>((H58))/((D58))</f>
        <v>0.18778572983087247</v>
      </c>
      <c r="J102" s="53" t="s">
        <v>25</v>
      </c>
      <c r="K102" s="56" t="s">
        <v>27</v>
      </c>
      <c r="L102" s="17"/>
    </row>
    <row r="103" spans="1:12" s="9" customFormat="1" ht="107.25" customHeight="1" x14ac:dyDescent="0.25">
      <c r="A103" s="65">
        <v>5</v>
      </c>
      <c r="B103" s="145" t="str">
        <f>B16</f>
        <v>CONSORCIO INTER BRT
INPROTEKTO LTDA. 51%
COINVIAL SAS.   49%</v>
      </c>
      <c r="C103" s="146"/>
      <c r="D103" s="58">
        <f>(((E59*0.51)+(E60*0.49))/((D59*0.51)+(D60*0.49)))</f>
        <v>0.44444275368389946</v>
      </c>
      <c r="E103" s="59">
        <f>((F59*0.51)+(F60*0.49))/((G59*0.51)+(G60*0.49))</f>
        <v>2.194551084070393</v>
      </c>
      <c r="F103" s="67">
        <f>(((H59*0.51)+(H60*0.49))/((I59*0.51)+(I60*0.49)))</f>
        <v>384.29420509656353</v>
      </c>
      <c r="G103" s="60">
        <f>((F60-G60)+(F59-G59))</f>
        <v>2235530538</v>
      </c>
      <c r="H103" s="58">
        <f>(((H59*0.51)+(H60*0.49))/((J59*0.51)+(J60*0.49)))</f>
        <v>0.36203765566213614</v>
      </c>
      <c r="I103" s="58">
        <f>((H59*0.51)+(H60*0.49))/((D59*0.51)+(D60*0.49))</f>
        <v>0.20113264304239295</v>
      </c>
      <c r="J103" s="53" t="s">
        <v>25</v>
      </c>
      <c r="K103" s="56" t="s">
        <v>27</v>
      </c>
      <c r="L103" s="17"/>
    </row>
    <row r="104" spans="1:12" s="9" customFormat="1" ht="107.25" customHeight="1" x14ac:dyDescent="0.25">
      <c r="A104" s="65">
        <v>6</v>
      </c>
      <c r="B104" s="145" t="str">
        <f>B18</f>
        <v>CONSORCIO AT INTERVENTORIA
ALIANZA INTEGRAL DE PROYECTOS SAS BIC. 90%
TALATAA PROYECTOS SAS.   10%</v>
      </c>
      <c r="C104" s="146"/>
      <c r="D104" s="58">
        <f>(((E61*0.9)+(E62*0.1))/((D61*0.9)+(D62*0.1)))</f>
        <v>0.38941150986347173</v>
      </c>
      <c r="E104" s="59">
        <f>((F61*0.9)+(F62*0.1))/((G61*0.9)+(G62*0.1))</f>
        <v>2.567662213951496</v>
      </c>
      <c r="F104" s="67">
        <f>(((H61*0.9)+(H62*0.1))/((I61*0.9)+(I62*0.1)))</f>
        <v>1201.6768703356229</v>
      </c>
      <c r="G104" s="60">
        <f>((F62-G62)+(F61-G61))</f>
        <v>2858970304</v>
      </c>
      <c r="H104" s="58">
        <f>(((H61*0.9)+(H62*0.1))/((J61*0.9)+(J62*0.1)))</f>
        <v>0.54227080509711711</v>
      </c>
      <c r="I104" s="58">
        <f>((H61*0.9)+(H62*0.1))/((D61*0.9)+(D62*0.1))</f>
        <v>0.33110431212936836</v>
      </c>
      <c r="J104" s="53" t="s">
        <v>25</v>
      </c>
      <c r="K104" s="56" t="s">
        <v>27</v>
      </c>
      <c r="L104" s="17"/>
    </row>
    <row r="105" spans="1:12" s="9" customFormat="1" ht="107.25" customHeight="1" x14ac:dyDescent="0.25">
      <c r="A105" s="65">
        <v>7</v>
      </c>
      <c r="B105" s="145" t="str">
        <f>B20</f>
        <v>CONSORCIO BRT AR
RESTREPO Y URIBE S.A.S. 50,01%
INGERTECOL S.A.S. – BIC.   49,99%</v>
      </c>
      <c r="C105" s="146"/>
      <c r="D105" s="58">
        <f>(((E63*0.5001)+(E64*0.4999))/((D63*0.5001)+(D64*0.4999)))</f>
        <v>0.3587306064726673</v>
      </c>
      <c r="E105" s="59">
        <f>((F63*0.5001)+(F64*0.4999))/((G63*0.5001)+(G64*0.4999))</f>
        <v>2.6994361211022579</v>
      </c>
      <c r="F105" s="67">
        <f>(((H63*0.5001)+(H64*0.4999))/((I63*0.5001)+(I64*0.4999)))</f>
        <v>123.50703220389994</v>
      </c>
      <c r="G105" s="60">
        <f>((F64-G64)+(F63-G63))</f>
        <v>14191611006</v>
      </c>
      <c r="H105" s="58">
        <f>(((H63*0.5001)+(H64*0.4999))/((J63*0.5001)+(J64*0.4999)))</f>
        <v>0.19407618180707376</v>
      </c>
      <c r="I105" s="58">
        <f>((H63*0.5001)+(H64*0.4999))/((D63*0.5001)+(D64*0.4999))</f>
        <v>0.12445511540552257</v>
      </c>
      <c r="J105" s="53" t="s">
        <v>25</v>
      </c>
      <c r="K105" s="56" t="s">
        <v>27</v>
      </c>
      <c r="L105" s="17"/>
    </row>
    <row r="106" spans="1:12" s="9" customFormat="1" ht="107.25" customHeight="1" x14ac:dyDescent="0.25">
      <c r="A106" s="65">
        <v>8</v>
      </c>
      <c r="B106" s="145" t="str">
        <f>B22</f>
        <v>SERVICIOS DE INGENIERIA Y CONSTRUCCION SAS</v>
      </c>
      <c r="C106" s="146"/>
      <c r="D106" s="58">
        <f>((((E65))/(((D65)))))</f>
        <v>0.3052026697815709</v>
      </c>
      <c r="E106" s="59">
        <f>(((F65))/((G65)))</f>
        <v>3.0591759880759466</v>
      </c>
      <c r="F106" s="67">
        <f>((((H65))/((I65))))</f>
        <v>2095.2905537630372</v>
      </c>
      <c r="G106" s="60">
        <f>((F65-G65))</f>
        <v>15408962338</v>
      </c>
      <c r="H106" s="58">
        <f>(((H65))/((J65)))</f>
        <v>0.16391810011019478</v>
      </c>
      <c r="I106" s="58">
        <f>((H65))/((D65))</f>
        <v>0.11388985833104051</v>
      </c>
      <c r="J106" s="53" t="s">
        <v>25</v>
      </c>
      <c r="K106" s="56" t="s">
        <v>27</v>
      </c>
      <c r="L106" s="17"/>
    </row>
    <row r="107" spans="1:12" s="9" customFormat="1" ht="107.25" customHeight="1" x14ac:dyDescent="0.25">
      <c r="A107" s="65">
        <v>9</v>
      </c>
      <c r="B107" s="145" t="str">
        <f>B23</f>
        <v>CONSORCIO INTERVENTORÍA MANTENIMIENTO INFRAESTRUCTURA TRANSMILENIO.
GYG DEVELOPMENT GROUP INTERNATIONAL SAS. 70%
QATRO SAS   30%</v>
      </c>
      <c r="C107" s="146"/>
      <c r="D107" s="58">
        <f>(((E66*0.7)+(E67*0.3))/((D66*0.7)+(D67*0.3)))</f>
        <v>0.17966797857979977</v>
      </c>
      <c r="E107" s="59">
        <f>((F66*0.7)+(F67*0.3))/((G66*0.7)+(G67*0.3))</f>
        <v>13.398453989958275</v>
      </c>
      <c r="F107" s="67" t="s">
        <v>43</v>
      </c>
      <c r="G107" s="60">
        <f>((F67-G67)+(F66-G66))</f>
        <v>2872331878</v>
      </c>
      <c r="H107" s="58">
        <f>(((H66*0.7)+(H67*0.3))/((J66*0.7)+(J67*0.3)))</f>
        <v>7.5247247033761441E-2</v>
      </c>
      <c r="I107" s="58">
        <f>((H66*0.7)+(H67*0.3))/((D66*0.7)+(D67*0.3))</f>
        <v>6.1727726265510686E-2</v>
      </c>
      <c r="J107" s="53" t="s">
        <v>25</v>
      </c>
      <c r="K107" s="56" t="s">
        <v>27</v>
      </c>
      <c r="L107" s="17"/>
    </row>
    <row r="108" spans="1:12" s="9" customFormat="1" ht="107.25" customHeight="1" x14ac:dyDescent="0.25">
      <c r="A108" s="65">
        <v>10</v>
      </c>
      <c r="B108" s="145" t="str">
        <f>B25</f>
        <v>CONSORCIO INTER BRT 2026
COBA B&amp;C S.A.S. 50%
INGENIERIA DE CALIDAD E INNOVACION S.A.S BIC  50%</v>
      </c>
      <c r="C108" s="146"/>
      <c r="D108" s="58">
        <f>(((E68*0.5)+(E69*0.5))/((D68*0.5)+(D69*0.5)))</f>
        <v>0.48857538479481549</v>
      </c>
      <c r="E108" s="59">
        <f>((F68*0.5)+(F69*0.5))/((G68*0.5)+(G69*0.5))</f>
        <v>2.0454399479519938</v>
      </c>
      <c r="F108" s="67">
        <f>(((H68*0.5)+(H69*0.5))/((I68*0.5)+(I69*0.5)))</f>
        <v>688.55003882935864</v>
      </c>
      <c r="G108" s="60">
        <f>((F69-G69)+(F68-G68))</f>
        <v>2126366114</v>
      </c>
      <c r="H108" s="58">
        <f>(((H68*0.5)+(H69*0.5))/((J68*0.5)+(J69*0.5)))</f>
        <v>0.17740501700866282</v>
      </c>
      <c r="I108" s="58">
        <f>((H68*0.5)+(H69*0.5))/((D68*0.5)+(D69*0.5))</f>
        <v>9.0729292559124597E-2</v>
      </c>
      <c r="J108" s="53" t="s">
        <v>25</v>
      </c>
      <c r="K108" s="56" t="s">
        <v>27</v>
      </c>
      <c r="L108" s="17"/>
    </row>
    <row r="109" spans="1:12" s="9" customFormat="1" ht="107.25" customHeight="1" x14ac:dyDescent="0.25">
      <c r="A109" s="65">
        <v>11</v>
      </c>
      <c r="B109" s="145" t="str">
        <f>B27</f>
        <v>SCAIN ADMINISTRACION E INGENIERIA SAS BIC</v>
      </c>
      <c r="C109" s="146"/>
      <c r="D109" s="58">
        <f>((((E70))/(((D70)))))</f>
        <v>9.3273112669590898E-3</v>
      </c>
      <c r="E109" s="59">
        <f>(((F70))/((G70)))</f>
        <v>95.343956779983145</v>
      </c>
      <c r="F109" s="67" t="s">
        <v>43</v>
      </c>
      <c r="G109" s="60">
        <f>((F70-G70))</f>
        <v>35866877810</v>
      </c>
      <c r="H109" s="58">
        <f>(((H70))/((J70)))</f>
        <v>8.3531882201763788E-2</v>
      </c>
      <c r="I109" s="58">
        <f>((H70))/((D70))</f>
        <v>8.2752754335752979E-2</v>
      </c>
      <c r="J109" s="53" t="s">
        <v>25</v>
      </c>
      <c r="K109" s="56" t="s">
        <v>27</v>
      </c>
      <c r="L109" s="17"/>
    </row>
    <row r="110" spans="1:12" s="9" customFormat="1" ht="107.25" customHeight="1" x14ac:dyDescent="0.25">
      <c r="A110" s="65">
        <v>12</v>
      </c>
      <c r="B110" s="145" t="str">
        <f>B28</f>
        <v>CONSORCIO INTER INFRABRT
C&amp;M CONSULTORES S.A.S. 90%
CONSULTORA CENTRAL S.A.S. BIC.   10%</v>
      </c>
      <c r="C110" s="146"/>
      <c r="D110" s="58">
        <f>(((E71*0.9)+(E72*0.1))/((D71*0.9)+(D72*0.1)))</f>
        <v>0.20231526480273401</v>
      </c>
      <c r="E110" s="59">
        <f>((F71*0.9)+(F72*0.1))/((G71*0.9)+(G72*0.1))</f>
        <v>3.2847574692141173</v>
      </c>
      <c r="F110" s="67">
        <f>(((H71*0.9)+(H72*0.1))/((I71*0.9)+(I72*0.1)))</f>
        <v>228.21110463523084</v>
      </c>
      <c r="G110" s="60">
        <f>((F72-G72)+(F71-G71))</f>
        <v>17377067370</v>
      </c>
      <c r="H110" s="58">
        <f>(((H71*0.9)+(H72*0.1))/((J71*0.9)+(J72*0.1)))</f>
        <v>6.5437329884035528E-2</v>
      </c>
      <c r="I110" s="58">
        <f>((H71*0.9)+(H72*0.1))/((D71*0.9)+(D72*0.1))</f>
        <v>5.2198359160563021E-2</v>
      </c>
      <c r="J110" s="53" t="s">
        <v>25</v>
      </c>
      <c r="K110" s="56" t="s">
        <v>27</v>
      </c>
      <c r="L110" s="17"/>
    </row>
    <row r="111" spans="1:12" s="9" customFormat="1" ht="107.25" customHeight="1" x14ac:dyDescent="0.25">
      <c r="A111" s="65">
        <v>13</v>
      </c>
      <c r="B111" s="145" t="str">
        <f>B30</f>
        <v>CONSORCIO TRANSPORTE MASIVO UGGB.
UG21 ENGINEERING S.A.S. 90%
GB10 CONSULTORES S.A.S.   10%</v>
      </c>
      <c r="C111" s="146"/>
      <c r="D111" s="58">
        <f>(((E73*0.9)+(E74*0.1))/((D73*0.9)+(D74*0.1)))</f>
        <v>8.0838084776872932E-2</v>
      </c>
      <c r="E111" s="59">
        <f>((F73*0.9)+(F74*0.1))/((G73*0.9)+(G74*0.1))</f>
        <v>12.276678729685729</v>
      </c>
      <c r="F111" s="67" t="s">
        <v>43</v>
      </c>
      <c r="G111" s="162">
        <f>((F74-G74)+(F73-G73))</f>
        <v>1182507402</v>
      </c>
      <c r="H111" s="58">
        <f>(((H73*0.9)+(H74*0.1))/((J73*0.9)+(J74*0.1)))</f>
        <v>0.27932352914364383</v>
      </c>
      <c r="I111" s="58">
        <f>((H73*0.9)+(H74*0.1))/((D73*0.9)+(D74*0.1))</f>
        <v>0.25674355001455462</v>
      </c>
      <c r="J111" s="53" t="s">
        <v>25</v>
      </c>
      <c r="K111" s="163" t="s">
        <v>32</v>
      </c>
      <c r="L111" s="17"/>
    </row>
    <row r="112" spans="1:12" s="9" customFormat="1" ht="107.25" customHeight="1" x14ac:dyDescent="0.25">
      <c r="A112" s="65">
        <v>14</v>
      </c>
      <c r="B112" s="145" t="str">
        <f>B32</f>
        <v>CONSORCIO TM BOGOTA
ECG INGENIERIA S.A.S.  50%
INGENIERÍA CENIT DE CÓRDOBA Y ASOCIADOS S.A.S.   50%</v>
      </c>
      <c r="C112" s="146"/>
      <c r="D112" s="58">
        <f>(((E75*0.5)+(E76*0.5))/((D75*0.5)+(D76*0.5)))</f>
        <v>0.48935204308113944</v>
      </c>
      <c r="E112" s="59">
        <f>((F75*0.5)+(F76*0.5))/((G75*0.5)+(G76*0.5))</f>
        <v>2.0396001546159814</v>
      </c>
      <c r="F112" s="67">
        <f>(((H75*0.5)+(H76*0.5))/((I75*0.5)+(I76*0.5)))</f>
        <v>69.030619430078019</v>
      </c>
      <c r="G112" s="60">
        <f>((F76-G76)+(F75-G75))</f>
        <v>3316239902</v>
      </c>
      <c r="H112" s="58">
        <f>(((H75*0.5)+(H76*0.5))/((J75*0.5)+(J76*0.5)))</f>
        <v>0.59614466438628655</v>
      </c>
      <c r="I112" s="58">
        <f>((H75*0.5)+(H76*0.5))/((D75*0.5)+(D76*0.5))</f>
        <v>0.30442005489693702</v>
      </c>
      <c r="J112" s="53" t="s">
        <v>25</v>
      </c>
      <c r="K112" s="56" t="s">
        <v>27</v>
      </c>
      <c r="L112" s="17"/>
    </row>
    <row r="113" spans="1:12" s="9" customFormat="1" ht="107.25" customHeight="1" x14ac:dyDescent="0.25">
      <c r="A113" s="65">
        <v>15</v>
      </c>
      <c r="B113" s="145" t="str">
        <f>B34</f>
        <v>A&amp;G PLUS SAS BIC</v>
      </c>
      <c r="C113" s="146"/>
      <c r="D113" s="58">
        <f>((((E77))/(((D77)))))</f>
        <v>6.962909490673211E-3</v>
      </c>
      <c r="E113" s="59">
        <f>(((F77))/((G77)))</f>
        <v>143.61812419642908</v>
      </c>
      <c r="F113" s="67" t="s">
        <v>43</v>
      </c>
      <c r="G113" s="162">
        <f>((F77-G77))</f>
        <v>588347682</v>
      </c>
      <c r="H113" s="58">
        <f>(((H77))/((J77)))</f>
        <v>0.27462312667019229</v>
      </c>
      <c r="I113" s="58">
        <f>((H77))/((D77))</f>
        <v>0.27271095069514206</v>
      </c>
      <c r="J113" s="53" t="s">
        <v>25</v>
      </c>
      <c r="K113" s="163" t="s">
        <v>32</v>
      </c>
      <c r="L113" s="17"/>
    </row>
    <row r="114" spans="1:12" s="9" customFormat="1" ht="107.25" customHeight="1" x14ac:dyDescent="0.25">
      <c r="A114" s="65">
        <v>16</v>
      </c>
      <c r="B114" s="145" t="str">
        <f>B35</f>
        <v>CONSORCIO INTER MANTENIMIENTO BRT.
INGEPLAN.CO INFRAESTRUCTURA S.A.S. BIC.  50%
INGENIERIA CONSULTORIA Y PLANEACION S A.   50%</v>
      </c>
      <c r="C114" s="146"/>
      <c r="D114" s="58">
        <f>(((E78*0.5)+(E79*0.5))/((D78*0.5)+(D79*0.5)))</f>
        <v>0.20360377064060908</v>
      </c>
      <c r="E114" s="59">
        <f>((F78*0.5)+(F79*0.5))/((G78*0.5)+(G79*0.5))</f>
        <v>4.7824697186339273</v>
      </c>
      <c r="F114" s="67">
        <f>(((H78*0.5)+(H79*0.5))/((I78*0.5)+(I79*0.5)))</f>
        <v>365683.17825001891</v>
      </c>
      <c r="G114" s="60">
        <f>((F79-G79)+(F78-G78))</f>
        <v>18997738509</v>
      </c>
      <c r="H114" s="58">
        <f>(((H78*0.5)+(H79*0.5))/((J78*0.5)+(J79*0.5)))</f>
        <v>0.22260606809140931</v>
      </c>
      <c r="I114" s="58">
        <f>((H78*0.5)+(H79*0.5))/((D78*0.5)+(D79*0.5))</f>
        <v>0.17728263326051821</v>
      </c>
      <c r="J114" s="53" t="s">
        <v>25</v>
      </c>
      <c r="K114" s="56" t="s">
        <v>27</v>
      </c>
      <c r="L114" s="17"/>
    </row>
    <row r="115" spans="1:12" s="9" customFormat="1" ht="107.25" customHeight="1" x14ac:dyDescent="0.25">
      <c r="A115" s="65">
        <v>17</v>
      </c>
      <c r="B115" s="145" t="str">
        <f>B37</f>
        <v>CONSORCIO VIAL MASIVO 
NOGAALL S.A.S.  50%
MC CONSULTORES Y CONSTRUCTORES S.A.S..   50%</v>
      </c>
      <c r="C115" s="146"/>
      <c r="D115" s="58">
        <f>(((E80*0.5)+(E81*0.5))/((D80*0.5)+(D81*0.5)))</f>
        <v>0.36991434194916523</v>
      </c>
      <c r="E115" s="59">
        <f>((F80*0.5)+(F81*0.5))/((G80*0.5)+(G81*0.5))</f>
        <v>5.2626602846798027</v>
      </c>
      <c r="F115" s="67">
        <f>(((H80*0.5)+(H81*0.5))/((I80*0.5)+(I81*0.5)))</f>
        <v>7.2005558860507559</v>
      </c>
      <c r="G115" s="60">
        <f>((F81-G81)+(F80-G80))</f>
        <v>4050400340</v>
      </c>
      <c r="H115" s="58">
        <f>(((H80*0.5)+(H81*0.5))/((J80*0.5)+(J81*0.5)))</f>
        <v>0.15188925665400013</v>
      </c>
      <c r="I115" s="58">
        <f>((H80*0.5)+(H81*0.5))/((D80*0.5)+(D81*0.5))</f>
        <v>9.5703242229687804E-2</v>
      </c>
      <c r="J115" s="53" t="s">
        <v>25</v>
      </c>
      <c r="K115" s="56" t="s">
        <v>27</v>
      </c>
      <c r="L115" s="17"/>
    </row>
    <row r="116" spans="1:12" s="9" customFormat="1" ht="107.25" customHeight="1" x14ac:dyDescent="0.25">
      <c r="A116" s="65">
        <v>18</v>
      </c>
      <c r="B116" s="145" t="str">
        <f>B39</f>
        <v>CONSORCIO INTERMILENIO BRT
GAVINCO INGENIEROS CONSULTORES SAS.  49,9%
ING INGENIERÍA S.A.S  50,1%</v>
      </c>
      <c r="C116" s="146"/>
      <c r="D116" s="58">
        <f>(((E82*0.499)+(E83*0.501))/((D82*0.499)+(D83*0.501)))</f>
        <v>0.58834444155397736</v>
      </c>
      <c r="E116" s="59">
        <f>((F82*0.499)+(F83*0.501))/((G82*0.499)+(G83*0.501))</f>
        <v>2.7598900555200103</v>
      </c>
      <c r="F116" s="67">
        <f>(((H82*0.499)+(H83*0.501))/((I82*0.499)+(I83*0.501)))</f>
        <v>3.16639535083387</v>
      </c>
      <c r="G116" s="60">
        <f>((F83-G83)+(F82-G82))</f>
        <v>17110804528</v>
      </c>
      <c r="H116" s="58">
        <f>(((H82*0.499)+(H83*0.501))/((J82*0.499)+(J83*0.501)))</f>
        <v>0.18105762270223272</v>
      </c>
      <c r="I116" s="58">
        <f>((H82*0.499)+(H83*0.501))/((D82*0.499)+(D83*0.501))</f>
        <v>7.4533376784396879E-2</v>
      </c>
      <c r="J116" s="53" t="s">
        <v>25</v>
      </c>
      <c r="K116" s="56" t="s">
        <v>27</v>
      </c>
      <c r="L116" s="17"/>
    </row>
    <row r="117" spans="1:12" s="9" customFormat="1" ht="107.25" customHeight="1" x14ac:dyDescent="0.25">
      <c r="A117" s="65">
        <v>19</v>
      </c>
      <c r="B117" s="145" t="str">
        <f>B41</f>
        <v>CONSORCIO URBANO LA-PA
CICA INGENIERIA E INTERVENTORIA S.A.S.   50%
GEAGOR S.A.S BIC  50%</v>
      </c>
      <c r="C117" s="146"/>
      <c r="D117" s="58">
        <f>(((E84*0.5)+(E85*0.5))/((D84*0.5)+(D85*0.5)))</f>
        <v>0.17917800333271963</v>
      </c>
      <c r="E117" s="59">
        <f>((F84*0.5)+(F85*0.5))/((G84*0.5)+(G85*0.5))</f>
        <v>8.1247048774408182</v>
      </c>
      <c r="F117" s="67">
        <f>(((H84*0.5)+(H85*0.5))/((I84*0.5)+(I85*0.5)))</f>
        <v>55.079547715261448</v>
      </c>
      <c r="G117" s="60">
        <f>((F85-G85)+(F84-G84))</f>
        <v>2235380309</v>
      </c>
      <c r="H117" s="58">
        <f>(((H84*0.5)+(H85*0.5))/((J84*0.5)+(J85*0.5)))</f>
        <v>0.21287172727922277</v>
      </c>
      <c r="I117" s="58">
        <f>((H84*0.5)+(H85*0.5))/((D84*0.5)+(D85*0.5))</f>
        <v>0.1747297962193444</v>
      </c>
      <c r="J117" s="53" t="s">
        <v>25</v>
      </c>
      <c r="K117" s="56" t="s">
        <v>27</v>
      </c>
      <c r="L117" s="17"/>
    </row>
    <row r="118" spans="1:12" s="9" customFormat="1" ht="107.25" customHeight="1" x14ac:dyDescent="0.25">
      <c r="A118" s="65">
        <v>20</v>
      </c>
      <c r="B118" s="145" t="str">
        <f>B43</f>
        <v>INGEANDINA CONSULTORES DE INGENIERÍA S.A.S.</v>
      </c>
      <c r="C118" s="146"/>
      <c r="D118" s="58">
        <f>((((E86))/(((D86)))))</f>
        <v>0.12363326038024502</v>
      </c>
      <c r="E118" s="59">
        <f>(((F86))/((G86)))</f>
        <v>4.2156744933130055</v>
      </c>
      <c r="F118" s="67">
        <f>((((H86))/((I86))))</f>
        <v>38264.10144927536</v>
      </c>
      <c r="G118" s="60">
        <f>((F86-G86))</f>
        <v>9141140000</v>
      </c>
      <c r="H118" s="58">
        <f>(((H86))/((J86)))</f>
        <v>0.1310272922678194</v>
      </c>
      <c r="I118" s="58">
        <f>((H86))/((D86))</f>
        <v>0.11482796092595361</v>
      </c>
      <c r="J118" s="53" t="s">
        <v>25</v>
      </c>
      <c r="K118" s="56" t="s">
        <v>27</v>
      </c>
      <c r="L118" s="17"/>
    </row>
    <row r="119" spans="1:12" s="9" customFormat="1" ht="107.25" customHeight="1" x14ac:dyDescent="0.25">
      <c r="A119" s="65">
        <v>21</v>
      </c>
      <c r="B119" s="145" t="str">
        <f>B44</f>
        <v>CONSORCIO TRANSITO CAPITAL
DAIMCO S.A.S. 90%
DIBENEM S.A.S.  10%</v>
      </c>
      <c r="C119" s="146"/>
      <c r="D119" s="58">
        <f>(((E87*0.9)+(E88*0.1))/((D87*0.9)+(D88*0.1)))</f>
        <v>0.17555052794484474</v>
      </c>
      <c r="E119" s="59">
        <f>((F87*0.9)+(F88*0.1))/((G87*0.9)+(G88*0.1))</f>
        <v>39.855369363974845</v>
      </c>
      <c r="F119" s="67">
        <f>((((H87*0.9)+(H88*0.1)))/((I87*0.9)+(I88*0.1)))</f>
        <v>47.634963566759644</v>
      </c>
      <c r="G119" s="60">
        <f>((F88-G88)+(F87-G87))</f>
        <v>6501777428</v>
      </c>
      <c r="H119" s="58">
        <f>(((H87*0.9)+(H88*0.1))/((J87*0.9)+(J88*0.1)))</f>
        <v>0.49332389310340791</v>
      </c>
      <c r="I119" s="58">
        <f>((H87*0.9)+(H88*0.1))/((D87*0.9)+(D88*0.1))</f>
        <v>0.40672062322129848</v>
      </c>
      <c r="J119" s="53" t="s">
        <v>25</v>
      </c>
      <c r="K119" s="56" t="s">
        <v>27</v>
      </c>
      <c r="L119" s="17"/>
    </row>
    <row r="120" spans="1:12" s="9" customFormat="1" ht="107.25" customHeight="1" x14ac:dyDescent="0.25">
      <c r="A120" s="65">
        <v>22</v>
      </c>
      <c r="B120" s="145" t="str">
        <f>B46</f>
        <v>CONSORCIO INTERVENTOR PROES - SOTA
PROES LATAM S.A.S.   60%
PROES COLOMBIA S.A.S  10%
SOCIEDAD TECNICA SOTA S.A.S.   30%</v>
      </c>
      <c r="C120" s="146"/>
      <c r="D120" s="58">
        <f>(((E89*0.6)+(E90*0.1)+(E91*0.3))/((D89*0.6)+(D90*0.1)+(D91*0.3)))</f>
        <v>0.62627286020806527</v>
      </c>
      <c r="E120" s="59">
        <f>((F89*0.6)+(F90*0.1)+(F91*0.3))/((G89*0.6)+(G90*0.1)+(G91*0.3))</f>
        <v>2.7087934288785038</v>
      </c>
      <c r="F120" s="67">
        <f>(((H89*0.6)+(H90*0.1)+(H91*0.3))/((I89*0.6)+(I90*0.1)+(I91*0.3)))</f>
        <v>4.9747769634783241</v>
      </c>
      <c r="G120" s="60">
        <f>((F91-G91)+(F90-G90)+(F89-G89))</f>
        <v>4357967523.9800005</v>
      </c>
      <c r="H120" s="58">
        <f>(((H89*0.6)+(H90*0.1)+(H91*0.3))/((J89*0.6)+(J90*0.1)+(J91*0.3)))</f>
        <v>0.28015919011050766</v>
      </c>
      <c r="I120" s="58">
        <f>((H89*0.6)+(H90*0.1)+(H91*0.3))/((D89*0.6)+(D90*0.1)+(D91*0.3))</f>
        <v>0.10470309280642494</v>
      </c>
      <c r="J120" s="53" t="s">
        <v>25</v>
      </c>
      <c r="K120" s="56" t="s">
        <v>27</v>
      </c>
      <c r="L120" s="17"/>
    </row>
    <row r="121" spans="1:12" s="9" customFormat="1" ht="42.75" customHeight="1" x14ac:dyDescent="0.25">
      <c r="B121" s="13" t="s">
        <v>10</v>
      </c>
      <c r="C121" s="12"/>
      <c r="D121" s="34"/>
      <c r="E121" s="35"/>
      <c r="F121" s="18"/>
      <c r="G121" s="18"/>
      <c r="H121" s="18"/>
      <c r="I121" s="18"/>
      <c r="J121" s="18"/>
      <c r="K121" s="18"/>
      <c r="L121" s="17"/>
    </row>
    <row r="122" spans="1:12" s="9" customFormat="1" ht="42.75" customHeight="1" thickBot="1" x14ac:dyDescent="0.3">
      <c r="B122" s="12"/>
      <c r="C122" s="12"/>
      <c r="D122" s="34"/>
      <c r="E122" s="35"/>
      <c r="F122" s="18"/>
      <c r="G122" s="33"/>
      <c r="H122" s="33"/>
      <c r="I122" s="33"/>
      <c r="J122" s="33"/>
      <c r="K122" s="18"/>
      <c r="L122" s="17"/>
    </row>
    <row r="123" spans="1:12" s="9" customFormat="1" ht="42.75" customHeight="1" x14ac:dyDescent="0.25">
      <c r="A123" s="88" t="s">
        <v>0</v>
      </c>
      <c r="B123" s="89"/>
      <c r="C123" s="89"/>
      <c r="D123" s="57" t="s">
        <v>9</v>
      </c>
      <c r="E123" s="107" t="s">
        <v>23</v>
      </c>
      <c r="F123" s="107"/>
      <c r="G123" s="107"/>
      <c r="H123" s="107"/>
      <c r="I123" s="108"/>
      <c r="J123" s="49"/>
      <c r="K123" s="18"/>
      <c r="L123" s="17"/>
    </row>
    <row r="124" spans="1:12" s="9" customFormat="1" ht="108" customHeight="1" x14ac:dyDescent="0.25">
      <c r="A124" s="47">
        <v>1</v>
      </c>
      <c r="B124" s="93" t="str">
        <f>B99</f>
        <v>CONSORCIO INTER VIAS BRT
JGF SERVICIOS S.A.S. 50%
JGF INGENIERIA S.A.S.   50%</v>
      </c>
      <c r="C124" s="93"/>
      <c r="D124" s="53" t="s">
        <v>27</v>
      </c>
      <c r="E124" s="81" t="s">
        <v>28</v>
      </c>
      <c r="F124" s="82"/>
      <c r="G124" s="82"/>
      <c r="H124" s="82"/>
      <c r="I124" s="83"/>
      <c r="J124" s="50"/>
      <c r="K124" s="18"/>
      <c r="L124" s="17"/>
    </row>
    <row r="125" spans="1:12" s="9" customFormat="1" ht="108" customHeight="1" x14ac:dyDescent="0.25">
      <c r="A125" s="47">
        <v>2</v>
      </c>
      <c r="B125" s="93" t="str">
        <f>B100</f>
        <v>CIVING INGENIEROS CONTRATISTAS SAS</v>
      </c>
      <c r="C125" s="93"/>
      <c r="D125" s="53" t="s">
        <v>27</v>
      </c>
      <c r="E125" s="81" t="s">
        <v>28</v>
      </c>
      <c r="F125" s="82"/>
      <c r="G125" s="82"/>
      <c r="H125" s="82"/>
      <c r="I125" s="83"/>
      <c r="J125" s="50"/>
      <c r="K125" s="18"/>
      <c r="L125" s="17"/>
    </row>
    <row r="126" spans="1:12" s="9" customFormat="1" ht="108" customHeight="1" x14ac:dyDescent="0.25">
      <c r="A126" s="47">
        <v>3</v>
      </c>
      <c r="B126" s="93" t="str">
        <f>B101</f>
        <v>CONSORCIO BRT VELNEC
VELNEC S.A.S. 51%
VELNEC INGENIERIA S.A.S. BIC.   49%</v>
      </c>
      <c r="C126" s="93"/>
      <c r="D126" s="53" t="s">
        <v>27</v>
      </c>
      <c r="E126" s="81" t="s">
        <v>28</v>
      </c>
      <c r="F126" s="82"/>
      <c r="G126" s="82"/>
      <c r="H126" s="82"/>
      <c r="I126" s="83"/>
      <c r="J126" s="50"/>
      <c r="K126" s="18"/>
      <c r="L126" s="17"/>
    </row>
    <row r="127" spans="1:12" s="9" customFormat="1" ht="108" customHeight="1" x14ac:dyDescent="0.25">
      <c r="A127" s="47">
        <v>4</v>
      </c>
      <c r="B127" s="93" t="str">
        <f>B102</f>
        <v>INGENIERIA MASTER S.A.S.</v>
      </c>
      <c r="C127" s="93"/>
      <c r="D127" s="53" t="s">
        <v>27</v>
      </c>
      <c r="E127" s="81" t="s">
        <v>28</v>
      </c>
      <c r="F127" s="82"/>
      <c r="G127" s="82"/>
      <c r="H127" s="82"/>
      <c r="I127" s="83"/>
      <c r="J127" s="50"/>
      <c r="K127" s="18"/>
      <c r="L127" s="17"/>
    </row>
    <row r="128" spans="1:12" s="9" customFormat="1" ht="108" customHeight="1" x14ac:dyDescent="0.25">
      <c r="A128" s="47">
        <v>5</v>
      </c>
      <c r="B128" s="93" t="str">
        <f>B103</f>
        <v>CONSORCIO INTER BRT
INPROTEKTO LTDA. 51%
COINVIAL SAS.   49%</v>
      </c>
      <c r="C128" s="93"/>
      <c r="D128" s="53" t="s">
        <v>27</v>
      </c>
      <c r="E128" s="81" t="s">
        <v>28</v>
      </c>
      <c r="F128" s="82"/>
      <c r="G128" s="82"/>
      <c r="H128" s="82"/>
      <c r="I128" s="83"/>
      <c r="J128" s="50"/>
      <c r="K128" s="18"/>
      <c r="L128" s="17"/>
    </row>
    <row r="129" spans="1:12" s="9" customFormat="1" ht="108" customHeight="1" x14ac:dyDescent="0.25">
      <c r="A129" s="75">
        <v>6</v>
      </c>
      <c r="B129" s="84" t="str">
        <f>B104</f>
        <v>CONSORCIO AT INTERVENTORIA
ALIANZA INTEGRAL DE PROYECTOS SAS BIC. 90%
TALATAA PROYECTOS SAS.   10%</v>
      </c>
      <c r="C129" s="84"/>
      <c r="D129" s="76" t="s">
        <v>32</v>
      </c>
      <c r="E129" s="85" t="s">
        <v>33</v>
      </c>
      <c r="F129" s="86"/>
      <c r="G129" s="86"/>
      <c r="H129" s="86"/>
      <c r="I129" s="87"/>
      <c r="J129" s="50"/>
      <c r="K129" s="18"/>
      <c r="L129" s="17"/>
    </row>
    <row r="130" spans="1:12" s="9" customFormat="1" ht="108" customHeight="1" x14ac:dyDescent="0.25">
      <c r="A130" s="75">
        <v>7</v>
      </c>
      <c r="B130" s="84" t="str">
        <f>B105</f>
        <v>CONSORCIO BRT AR
RESTREPO Y URIBE S.A.S. 50,01%
INGERTECOL S.A.S. – BIC.   49,99%</v>
      </c>
      <c r="C130" s="84"/>
      <c r="D130" s="76" t="s">
        <v>32</v>
      </c>
      <c r="E130" s="85" t="s">
        <v>33</v>
      </c>
      <c r="F130" s="86"/>
      <c r="G130" s="86"/>
      <c r="H130" s="86"/>
      <c r="I130" s="87"/>
      <c r="J130" s="50"/>
      <c r="K130" s="18"/>
      <c r="L130" s="17"/>
    </row>
    <row r="131" spans="1:12" s="9" customFormat="1" ht="108" customHeight="1" x14ac:dyDescent="0.25">
      <c r="A131" s="47">
        <v>8</v>
      </c>
      <c r="B131" s="93" t="str">
        <f>B106</f>
        <v>SERVICIOS DE INGENIERIA Y CONSTRUCCION SAS</v>
      </c>
      <c r="C131" s="93"/>
      <c r="D131" s="53" t="s">
        <v>27</v>
      </c>
      <c r="E131" s="81" t="s">
        <v>28</v>
      </c>
      <c r="F131" s="82"/>
      <c r="G131" s="82"/>
      <c r="H131" s="82"/>
      <c r="I131" s="83"/>
      <c r="J131" s="50"/>
      <c r="K131" s="18"/>
      <c r="L131" s="17"/>
    </row>
    <row r="132" spans="1:12" s="9" customFormat="1" ht="108" customHeight="1" x14ac:dyDescent="0.25">
      <c r="A132" s="47">
        <v>9</v>
      </c>
      <c r="B132" s="93" t="str">
        <f>B107</f>
        <v>CONSORCIO INTERVENTORÍA MANTENIMIENTO INFRAESTRUCTURA TRANSMILENIO.
GYG DEVELOPMENT GROUP INTERNATIONAL SAS. 70%
QATRO SAS   30%</v>
      </c>
      <c r="C132" s="93"/>
      <c r="D132" s="53" t="s">
        <v>27</v>
      </c>
      <c r="E132" s="81" t="s">
        <v>28</v>
      </c>
      <c r="F132" s="82"/>
      <c r="G132" s="82"/>
      <c r="H132" s="82"/>
      <c r="I132" s="83"/>
      <c r="J132" s="50"/>
      <c r="K132" s="18"/>
      <c r="L132" s="17"/>
    </row>
    <row r="133" spans="1:12" s="9" customFormat="1" ht="108" customHeight="1" x14ac:dyDescent="0.25">
      <c r="A133" s="47">
        <v>10</v>
      </c>
      <c r="B133" s="93" t="str">
        <f>B108</f>
        <v>CONSORCIO INTER BRT 2026
COBA B&amp;C S.A.S. 50%
INGENIERIA DE CALIDAD E INNOVACION S.A.S BIC  50%</v>
      </c>
      <c r="C133" s="93"/>
      <c r="D133" s="53" t="s">
        <v>27</v>
      </c>
      <c r="E133" s="81" t="s">
        <v>28</v>
      </c>
      <c r="F133" s="82"/>
      <c r="G133" s="82"/>
      <c r="H133" s="82"/>
      <c r="I133" s="83"/>
      <c r="J133" s="50"/>
      <c r="K133" s="18"/>
      <c r="L133" s="17"/>
    </row>
    <row r="134" spans="1:12" s="9" customFormat="1" ht="108" customHeight="1" x14ac:dyDescent="0.25">
      <c r="A134" s="47">
        <v>11</v>
      </c>
      <c r="B134" s="93" t="str">
        <f>B109</f>
        <v>SCAIN ADMINISTRACION E INGENIERIA SAS BIC</v>
      </c>
      <c r="C134" s="93"/>
      <c r="D134" s="53" t="s">
        <v>27</v>
      </c>
      <c r="E134" s="81" t="s">
        <v>28</v>
      </c>
      <c r="F134" s="82"/>
      <c r="G134" s="82"/>
      <c r="H134" s="82"/>
      <c r="I134" s="83"/>
      <c r="J134" s="50"/>
      <c r="K134" s="18"/>
      <c r="L134" s="17"/>
    </row>
    <row r="135" spans="1:12" s="9" customFormat="1" ht="108" customHeight="1" x14ac:dyDescent="0.25">
      <c r="A135" s="47">
        <v>12</v>
      </c>
      <c r="B135" s="93" t="str">
        <f>B110</f>
        <v>CONSORCIO INTER INFRABRT
C&amp;M CONSULTORES S.A.S. 90%
CONSULTORA CENTRAL S.A.S. BIC.   10%</v>
      </c>
      <c r="C135" s="93"/>
      <c r="D135" s="53" t="s">
        <v>27</v>
      </c>
      <c r="E135" s="81" t="s">
        <v>28</v>
      </c>
      <c r="F135" s="82"/>
      <c r="G135" s="82"/>
      <c r="H135" s="82"/>
      <c r="I135" s="83"/>
      <c r="J135" s="50"/>
      <c r="K135" s="18"/>
      <c r="L135" s="17"/>
    </row>
    <row r="136" spans="1:12" s="9" customFormat="1" ht="108" customHeight="1" x14ac:dyDescent="0.25">
      <c r="A136" s="75">
        <v>13</v>
      </c>
      <c r="B136" s="84" t="str">
        <f>B111</f>
        <v>CONSORCIO TRANSPORTE MASIVO UGGB.
UG21 ENGINEERING S.A.S. 90%
GB10 CONSULTORES S.A.S.   10%</v>
      </c>
      <c r="C136" s="84"/>
      <c r="D136" s="76" t="s">
        <v>32</v>
      </c>
      <c r="E136" s="85" t="s">
        <v>33</v>
      </c>
      <c r="F136" s="86"/>
      <c r="G136" s="86"/>
      <c r="H136" s="86"/>
      <c r="I136" s="87"/>
      <c r="J136" s="50"/>
      <c r="K136" s="18"/>
      <c r="L136" s="17"/>
    </row>
    <row r="137" spans="1:12" s="9" customFormat="1" ht="108" customHeight="1" x14ac:dyDescent="0.25">
      <c r="A137" s="47">
        <v>14</v>
      </c>
      <c r="B137" s="93" t="str">
        <f>B112</f>
        <v>CONSORCIO TM BOGOTA
ECG INGENIERIA S.A.S.  50%
INGENIERÍA CENIT DE CÓRDOBA Y ASOCIADOS S.A.S.   50%</v>
      </c>
      <c r="C137" s="93"/>
      <c r="D137" s="53" t="s">
        <v>27</v>
      </c>
      <c r="E137" s="81" t="s">
        <v>28</v>
      </c>
      <c r="F137" s="82"/>
      <c r="G137" s="82"/>
      <c r="H137" s="82"/>
      <c r="I137" s="83"/>
      <c r="J137" s="50"/>
      <c r="K137" s="18"/>
      <c r="L137" s="17"/>
    </row>
    <row r="138" spans="1:12" s="9" customFormat="1" ht="108" customHeight="1" x14ac:dyDescent="0.25">
      <c r="A138" s="75">
        <v>15</v>
      </c>
      <c r="B138" s="84" t="str">
        <f>B113</f>
        <v>A&amp;G PLUS SAS BIC</v>
      </c>
      <c r="C138" s="84"/>
      <c r="D138" s="76" t="s">
        <v>32</v>
      </c>
      <c r="E138" s="85" t="s">
        <v>33</v>
      </c>
      <c r="F138" s="86"/>
      <c r="G138" s="86"/>
      <c r="H138" s="86"/>
      <c r="I138" s="87"/>
      <c r="J138" s="50"/>
      <c r="K138" s="18"/>
      <c r="L138" s="17"/>
    </row>
    <row r="139" spans="1:12" s="9" customFormat="1" ht="108" customHeight="1" x14ac:dyDescent="0.25">
      <c r="A139" s="47">
        <v>16</v>
      </c>
      <c r="B139" s="93" t="str">
        <f>B114</f>
        <v>CONSORCIO INTER MANTENIMIENTO BRT.
INGEPLAN.CO INFRAESTRUCTURA S.A.S. BIC.  50%
INGENIERIA CONSULTORIA Y PLANEACION S A.   50%</v>
      </c>
      <c r="C139" s="93"/>
      <c r="D139" s="53" t="s">
        <v>27</v>
      </c>
      <c r="E139" s="81" t="s">
        <v>28</v>
      </c>
      <c r="F139" s="82"/>
      <c r="G139" s="82"/>
      <c r="H139" s="82"/>
      <c r="I139" s="83"/>
      <c r="J139" s="50"/>
      <c r="K139" s="18"/>
      <c r="L139" s="17"/>
    </row>
    <row r="140" spans="1:12" s="9" customFormat="1" ht="108" customHeight="1" x14ac:dyDescent="0.25">
      <c r="A140" s="75">
        <v>17</v>
      </c>
      <c r="B140" s="84" t="str">
        <f>B115</f>
        <v>CONSORCIO VIAL MASIVO 
NOGAALL S.A.S.  50%
MC CONSULTORES Y CONSTRUCTORES S.A.S..   50%</v>
      </c>
      <c r="C140" s="84"/>
      <c r="D140" s="76" t="s">
        <v>32</v>
      </c>
      <c r="E140" s="85" t="s">
        <v>33</v>
      </c>
      <c r="F140" s="86"/>
      <c r="G140" s="86"/>
      <c r="H140" s="86"/>
      <c r="I140" s="87"/>
      <c r="J140" s="50"/>
      <c r="K140" s="18"/>
      <c r="L140" s="17"/>
    </row>
    <row r="141" spans="1:12" s="9" customFormat="1" ht="108" customHeight="1" x14ac:dyDescent="0.25">
      <c r="A141" s="47">
        <v>18</v>
      </c>
      <c r="B141" s="93" t="str">
        <f>B116</f>
        <v>CONSORCIO INTERMILENIO BRT
GAVINCO INGENIEROS CONSULTORES SAS.  49,9%
ING INGENIERÍA S.A.S  50,1%</v>
      </c>
      <c r="C141" s="93"/>
      <c r="D141" s="53" t="s">
        <v>27</v>
      </c>
      <c r="E141" s="81" t="s">
        <v>28</v>
      </c>
      <c r="F141" s="82"/>
      <c r="G141" s="82"/>
      <c r="H141" s="82"/>
      <c r="I141" s="83"/>
      <c r="J141" s="50"/>
      <c r="K141" s="18"/>
      <c r="L141" s="17"/>
    </row>
    <row r="142" spans="1:12" s="9" customFormat="1" ht="108" customHeight="1" x14ac:dyDescent="0.25">
      <c r="A142" s="47">
        <v>19</v>
      </c>
      <c r="B142" s="93" t="str">
        <f>B117</f>
        <v>CONSORCIO URBANO LA-PA
CICA INGENIERIA E INTERVENTORIA S.A.S.   50%
GEAGOR S.A.S BIC  50%</v>
      </c>
      <c r="C142" s="93"/>
      <c r="D142" s="53" t="s">
        <v>27</v>
      </c>
      <c r="E142" s="81" t="s">
        <v>28</v>
      </c>
      <c r="F142" s="82"/>
      <c r="G142" s="82"/>
      <c r="H142" s="82"/>
      <c r="I142" s="83"/>
      <c r="J142" s="50"/>
      <c r="K142" s="18"/>
      <c r="L142" s="17"/>
    </row>
    <row r="143" spans="1:12" s="9" customFormat="1" ht="108" customHeight="1" x14ac:dyDescent="0.25">
      <c r="A143" s="47">
        <v>20</v>
      </c>
      <c r="B143" s="93" t="str">
        <f>B118</f>
        <v>INGEANDINA CONSULTORES DE INGENIERÍA S.A.S.</v>
      </c>
      <c r="C143" s="93"/>
      <c r="D143" s="53" t="s">
        <v>27</v>
      </c>
      <c r="E143" s="81" t="s">
        <v>28</v>
      </c>
      <c r="F143" s="82"/>
      <c r="G143" s="82"/>
      <c r="H143" s="82"/>
      <c r="I143" s="83"/>
      <c r="J143" s="50"/>
      <c r="K143" s="18"/>
      <c r="L143" s="17"/>
    </row>
    <row r="144" spans="1:12" s="9" customFormat="1" ht="108" customHeight="1" x14ac:dyDescent="0.25">
      <c r="A144" s="47">
        <v>21</v>
      </c>
      <c r="B144" s="93" t="str">
        <f>B119</f>
        <v>CONSORCIO TRANSITO CAPITAL
DAIMCO S.A.S. 90%
DIBENEM S.A.S.  10%</v>
      </c>
      <c r="C144" s="93"/>
      <c r="D144" s="53" t="s">
        <v>27</v>
      </c>
      <c r="E144" s="81" t="s">
        <v>28</v>
      </c>
      <c r="F144" s="82"/>
      <c r="G144" s="82"/>
      <c r="H144" s="82"/>
      <c r="I144" s="83"/>
      <c r="J144" s="50"/>
      <c r="K144" s="18"/>
      <c r="L144" s="17"/>
    </row>
    <row r="145" spans="1:12" s="9" customFormat="1" ht="108" customHeight="1" x14ac:dyDescent="0.25">
      <c r="A145" s="75">
        <v>22</v>
      </c>
      <c r="B145" s="164" t="str">
        <f>B120</f>
        <v>CONSORCIO INTERVENTOR PROES - SOTA
PROES LATAM S.A.S.   60%
PROES COLOMBIA S.A.S  10%
SOCIEDAD TECNICA SOTA S.A.S.   30%</v>
      </c>
      <c r="C145" s="165"/>
      <c r="D145" s="76" t="s">
        <v>32</v>
      </c>
      <c r="E145" s="85" t="s">
        <v>33</v>
      </c>
      <c r="F145" s="86"/>
      <c r="G145" s="86"/>
      <c r="H145" s="86"/>
      <c r="I145" s="87"/>
      <c r="J145" s="50"/>
      <c r="K145" s="18"/>
      <c r="L145" s="17"/>
    </row>
    <row r="146" spans="1:12" ht="27" customHeight="1" thickBot="1" x14ac:dyDescent="0.3">
      <c r="A146" s="9"/>
      <c r="B146" s="10"/>
      <c r="C146" s="10"/>
      <c r="D146" s="11"/>
      <c r="E146" s="36"/>
      <c r="F146" s="37"/>
      <c r="G146" s="32"/>
      <c r="H146" s="32"/>
      <c r="I146" s="32"/>
      <c r="J146" s="32"/>
      <c r="K146" s="9"/>
    </row>
    <row r="147" spans="1:12" ht="25.5" customHeight="1" x14ac:dyDescent="0.25">
      <c r="A147" s="88" t="s">
        <v>20</v>
      </c>
      <c r="B147" s="89"/>
      <c r="C147" s="89"/>
      <c r="D147" s="89"/>
      <c r="E147" s="89"/>
      <c r="F147" s="89"/>
      <c r="G147" s="89"/>
      <c r="H147" s="90"/>
      <c r="I147" s="32"/>
      <c r="J147" s="32"/>
      <c r="K147" s="9"/>
    </row>
    <row r="148" spans="1:12" ht="24.75" customHeight="1" x14ac:dyDescent="0.25">
      <c r="A148" s="100" t="s">
        <v>21</v>
      </c>
      <c r="B148" s="101"/>
      <c r="C148" s="101"/>
      <c r="D148" s="110" t="s">
        <v>22</v>
      </c>
      <c r="E148" s="110"/>
      <c r="F148" s="110"/>
      <c r="G148" s="110"/>
      <c r="H148" s="111"/>
      <c r="I148" s="32"/>
      <c r="J148" s="32"/>
      <c r="K148" s="9"/>
    </row>
    <row r="149" spans="1:12" ht="117.75" customHeight="1" x14ac:dyDescent="0.25">
      <c r="A149" s="47">
        <v>1</v>
      </c>
      <c r="B149" s="93" t="str">
        <f>+B99</f>
        <v>CONSORCIO INTER VIAS BRT
JGF SERVICIOS S.A.S. 50%
JGF INGENIERIA S.A.S.   50%</v>
      </c>
      <c r="C149" s="93"/>
      <c r="D149" s="91" t="s">
        <v>25</v>
      </c>
      <c r="E149" s="91"/>
      <c r="F149" s="91"/>
      <c r="G149" s="91"/>
      <c r="H149" s="92"/>
      <c r="I149" s="32"/>
      <c r="J149" s="32"/>
      <c r="K149" s="9"/>
      <c r="L149" s="70"/>
    </row>
    <row r="150" spans="1:12" ht="117.75" customHeight="1" x14ac:dyDescent="0.25">
      <c r="A150" s="47">
        <v>2</v>
      </c>
      <c r="B150" s="93" t="str">
        <f>+B100</f>
        <v>CIVING INGENIEROS CONTRATISTAS SAS</v>
      </c>
      <c r="C150" s="93"/>
      <c r="D150" s="91" t="s">
        <v>25</v>
      </c>
      <c r="E150" s="91"/>
      <c r="F150" s="91"/>
      <c r="G150" s="91"/>
      <c r="H150" s="92"/>
      <c r="I150" s="32"/>
      <c r="J150" s="32"/>
      <c r="K150" s="9"/>
      <c r="L150" s="70"/>
    </row>
    <row r="151" spans="1:12" ht="117.75" customHeight="1" x14ac:dyDescent="0.25">
      <c r="A151" s="47">
        <v>3</v>
      </c>
      <c r="B151" s="93" t="str">
        <f>+B101</f>
        <v>CONSORCIO BRT VELNEC
VELNEC S.A.S. 51%
VELNEC INGENIERIA S.A.S. BIC.   49%</v>
      </c>
      <c r="C151" s="93"/>
      <c r="D151" s="91" t="s">
        <v>25</v>
      </c>
      <c r="E151" s="91"/>
      <c r="F151" s="91"/>
      <c r="G151" s="91"/>
      <c r="H151" s="92"/>
      <c r="I151" s="32"/>
      <c r="J151" s="32"/>
      <c r="K151" s="9"/>
      <c r="L151" s="70"/>
    </row>
    <row r="152" spans="1:12" ht="117.75" customHeight="1" x14ac:dyDescent="0.25">
      <c r="A152" s="47">
        <v>4</v>
      </c>
      <c r="B152" s="93" t="str">
        <f>+B102</f>
        <v>INGENIERIA MASTER S.A.S.</v>
      </c>
      <c r="C152" s="93"/>
      <c r="D152" s="91" t="s">
        <v>25</v>
      </c>
      <c r="E152" s="91"/>
      <c r="F152" s="91"/>
      <c r="G152" s="91"/>
      <c r="H152" s="92"/>
      <c r="I152" s="32"/>
      <c r="J152" s="32"/>
      <c r="K152" s="9"/>
      <c r="L152" s="70"/>
    </row>
    <row r="153" spans="1:12" ht="117.75" customHeight="1" x14ac:dyDescent="0.25">
      <c r="A153" s="47">
        <v>5</v>
      </c>
      <c r="B153" s="93" t="str">
        <f>+B103</f>
        <v>CONSORCIO INTER BRT
INPROTEKTO LTDA. 51%
COINVIAL SAS.   49%</v>
      </c>
      <c r="C153" s="93"/>
      <c r="D153" s="91" t="s">
        <v>25</v>
      </c>
      <c r="E153" s="91"/>
      <c r="F153" s="91"/>
      <c r="G153" s="91"/>
      <c r="H153" s="92"/>
      <c r="I153" s="32"/>
      <c r="J153" s="32"/>
      <c r="K153" s="9"/>
      <c r="L153" s="70"/>
    </row>
    <row r="154" spans="1:12" ht="117.75" customHeight="1" x14ac:dyDescent="0.25">
      <c r="A154" s="75">
        <v>6</v>
      </c>
      <c r="B154" s="84" t="str">
        <f>+B104</f>
        <v>CONSORCIO AT INTERVENTORIA
ALIANZA INTEGRAL DE PROYECTOS SAS BIC. 90%
TALATAA PROYECTOS SAS.   10%</v>
      </c>
      <c r="C154" s="84"/>
      <c r="D154" s="117" t="s">
        <v>62</v>
      </c>
      <c r="E154" s="117"/>
      <c r="F154" s="117"/>
      <c r="G154" s="117"/>
      <c r="H154" s="118"/>
      <c r="I154" s="32"/>
      <c r="J154" s="32"/>
      <c r="K154" s="9"/>
      <c r="L154" s="70"/>
    </row>
    <row r="155" spans="1:12" ht="117.75" customHeight="1" x14ac:dyDescent="0.25">
      <c r="A155" s="75">
        <v>7</v>
      </c>
      <c r="B155" s="84" t="str">
        <f>+B105</f>
        <v>CONSORCIO BRT AR
RESTREPO Y URIBE S.A.S. 50,01%
INGERTECOL S.A.S. – BIC.   49,99%</v>
      </c>
      <c r="C155" s="84"/>
      <c r="D155" s="117" t="s">
        <v>63</v>
      </c>
      <c r="E155" s="117"/>
      <c r="F155" s="117"/>
      <c r="G155" s="117"/>
      <c r="H155" s="118"/>
      <c r="I155" s="32"/>
      <c r="J155" s="32"/>
      <c r="K155" s="9"/>
      <c r="L155" s="70"/>
    </row>
    <row r="156" spans="1:12" ht="117.75" customHeight="1" x14ac:dyDescent="0.25">
      <c r="A156" s="47">
        <v>8</v>
      </c>
      <c r="B156" s="93" t="str">
        <f>+B106</f>
        <v>SERVICIOS DE INGENIERIA Y CONSTRUCCION SAS</v>
      </c>
      <c r="C156" s="93"/>
      <c r="D156" s="91" t="s">
        <v>25</v>
      </c>
      <c r="E156" s="91"/>
      <c r="F156" s="91"/>
      <c r="G156" s="91"/>
      <c r="H156" s="92"/>
      <c r="I156" s="32"/>
      <c r="J156" s="32"/>
      <c r="K156" s="9"/>
      <c r="L156" s="70"/>
    </row>
    <row r="157" spans="1:12" ht="117.75" customHeight="1" x14ac:dyDescent="0.25">
      <c r="A157" s="47">
        <v>9</v>
      </c>
      <c r="B157" s="93" t="str">
        <f>+B107</f>
        <v>CONSORCIO INTERVENTORÍA MANTENIMIENTO INFRAESTRUCTURA TRANSMILENIO.
GYG DEVELOPMENT GROUP INTERNATIONAL SAS. 70%
QATRO SAS   30%</v>
      </c>
      <c r="C157" s="93"/>
      <c r="D157" s="91" t="s">
        <v>25</v>
      </c>
      <c r="E157" s="91"/>
      <c r="F157" s="91"/>
      <c r="G157" s="91"/>
      <c r="H157" s="92"/>
      <c r="I157" s="32"/>
      <c r="J157" s="32"/>
      <c r="K157" s="9"/>
      <c r="L157" s="70"/>
    </row>
    <row r="158" spans="1:12" ht="117.75" customHeight="1" x14ac:dyDescent="0.25">
      <c r="A158" s="47">
        <v>10</v>
      </c>
      <c r="B158" s="93" t="str">
        <f>+B108</f>
        <v>CONSORCIO INTER BRT 2026
COBA B&amp;C S.A.S. 50%
INGENIERIA DE CALIDAD E INNOVACION S.A.S BIC  50%</v>
      </c>
      <c r="C158" s="93"/>
      <c r="D158" s="91" t="s">
        <v>25</v>
      </c>
      <c r="E158" s="91"/>
      <c r="F158" s="91"/>
      <c r="G158" s="91"/>
      <c r="H158" s="92"/>
      <c r="I158" s="32"/>
      <c r="J158" s="32"/>
      <c r="K158" s="9"/>
      <c r="L158" s="70"/>
    </row>
    <row r="159" spans="1:12" ht="117.75" customHeight="1" x14ac:dyDescent="0.25">
      <c r="A159" s="47">
        <v>11</v>
      </c>
      <c r="B159" s="93" t="str">
        <f>+B109</f>
        <v>SCAIN ADMINISTRACION E INGENIERIA SAS BIC</v>
      </c>
      <c r="C159" s="93"/>
      <c r="D159" s="91" t="s">
        <v>25</v>
      </c>
      <c r="E159" s="91"/>
      <c r="F159" s="91"/>
      <c r="G159" s="91"/>
      <c r="H159" s="92"/>
      <c r="I159" s="32"/>
      <c r="J159" s="32"/>
      <c r="K159" s="9"/>
      <c r="L159" s="70"/>
    </row>
    <row r="160" spans="1:12" ht="117.75" customHeight="1" x14ac:dyDescent="0.25">
      <c r="A160" s="47">
        <v>12</v>
      </c>
      <c r="B160" s="93" t="str">
        <f>+B110</f>
        <v>CONSORCIO INTER INFRABRT
C&amp;M CONSULTORES S.A.S. 90%
CONSULTORA CENTRAL S.A.S. BIC.   10%</v>
      </c>
      <c r="C160" s="93"/>
      <c r="D160" s="91" t="s">
        <v>25</v>
      </c>
      <c r="E160" s="91"/>
      <c r="F160" s="91"/>
      <c r="G160" s="91"/>
      <c r="H160" s="92"/>
      <c r="I160" s="32"/>
      <c r="J160" s="32"/>
      <c r="K160" s="9"/>
      <c r="L160" s="70"/>
    </row>
    <row r="161" spans="1:12" ht="117.75" customHeight="1" x14ac:dyDescent="0.25">
      <c r="A161" s="75">
        <v>13</v>
      </c>
      <c r="B161" s="84" t="str">
        <f>+B111</f>
        <v>CONSORCIO TRANSPORTE MASIVO UGGB.
UG21 ENGINEERING S.A.S. 90%
GB10 CONSULTORES S.A.S.   10%</v>
      </c>
      <c r="C161" s="84"/>
      <c r="D161" s="117" t="s">
        <v>76</v>
      </c>
      <c r="E161" s="117"/>
      <c r="F161" s="117"/>
      <c r="G161" s="117"/>
      <c r="H161" s="118"/>
      <c r="I161" s="32"/>
      <c r="J161" s="32"/>
      <c r="K161" s="9"/>
      <c r="L161" s="70"/>
    </row>
    <row r="162" spans="1:12" ht="117.75" customHeight="1" x14ac:dyDescent="0.25">
      <c r="A162" s="47">
        <v>14</v>
      </c>
      <c r="B162" s="93" t="str">
        <f>+B112</f>
        <v>CONSORCIO TM BOGOTA
ECG INGENIERIA S.A.S.  50%
INGENIERÍA CENIT DE CÓRDOBA Y ASOCIADOS S.A.S.   50%</v>
      </c>
      <c r="C162" s="93"/>
      <c r="D162" s="91" t="s">
        <v>25</v>
      </c>
      <c r="E162" s="91"/>
      <c r="F162" s="91"/>
      <c r="G162" s="91"/>
      <c r="H162" s="92"/>
      <c r="I162" s="32"/>
      <c r="J162" s="32"/>
      <c r="K162" s="9"/>
      <c r="L162" s="70"/>
    </row>
    <row r="163" spans="1:12" ht="117.75" customHeight="1" x14ac:dyDescent="0.25">
      <c r="A163" s="75">
        <v>15</v>
      </c>
      <c r="B163" s="84" t="str">
        <f>+B113</f>
        <v>A&amp;G PLUS SAS BIC</v>
      </c>
      <c r="C163" s="84"/>
      <c r="D163" s="117" t="s">
        <v>80</v>
      </c>
      <c r="E163" s="117"/>
      <c r="F163" s="117"/>
      <c r="G163" s="117"/>
      <c r="H163" s="118"/>
      <c r="I163" s="32"/>
      <c r="J163" s="32"/>
      <c r="K163" s="9"/>
      <c r="L163" s="70"/>
    </row>
    <row r="164" spans="1:12" ht="117.75" customHeight="1" x14ac:dyDescent="0.25">
      <c r="A164" s="47">
        <v>16</v>
      </c>
      <c r="B164" s="145" t="str">
        <f>+B114</f>
        <v>CONSORCIO INTER MANTENIMIENTO BRT.
INGEPLAN.CO INFRAESTRUCTURA S.A.S. BIC.  50%
INGENIERIA CONSULTORIA Y PLANEACION S A.   50%</v>
      </c>
      <c r="C164" s="146"/>
      <c r="D164" s="91" t="s">
        <v>25</v>
      </c>
      <c r="E164" s="91"/>
      <c r="F164" s="91"/>
      <c r="G164" s="91"/>
      <c r="H164" s="92"/>
      <c r="I164" s="32"/>
      <c r="J164" s="32"/>
      <c r="K164" s="9"/>
      <c r="L164" s="70"/>
    </row>
    <row r="165" spans="1:12" ht="117.75" customHeight="1" x14ac:dyDescent="0.25">
      <c r="A165" s="75">
        <v>17</v>
      </c>
      <c r="B165" s="164" t="str">
        <f>+B115</f>
        <v>CONSORCIO VIAL MASIVO 
NOGAALL S.A.S.  50%
MC CONSULTORES Y CONSTRUCTORES S.A.S..   50%</v>
      </c>
      <c r="C165" s="165"/>
      <c r="D165" s="117" t="s">
        <v>62</v>
      </c>
      <c r="E165" s="117"/>
      <c r="F165" s="117"/>
      <c r="G165" s="117"/>
      <c r="H165" s="118"/>
      <c r="I165" s="32"/>
      <c r="J165" s="32"/>
      <c r="K165" s="9"/>
      <c r="L165" s="70"/>
    </row>
    <row r="166" spans="1:12" ht="117.75" customHeight="1" x14ac:dyDescent="0.25">
      <c r="A166" s="47">
        <v>18</v>
      </c>
      <c r="B166" s="145" t="str">
        <f>+B116</f>
        <v>CONSORCIO INTERMILENIO BRT
GAVINCO INGENIEROS CONSULTORES SAS.  49,9%
ING INGENIERÍA S.A.S  50,1%</v>
      </c>
      <c r="C166" s="146"/>
      <c r="D166" s="91" t="s">
        <v>25</v>
      </c>
      <c r="E166" s="91"/>
      <c r="F166" s="91"/>
      <c r="G166" s="91"/>
      <c r="H166" s="92"/>
      <c r="I166" s="32"/>
      <c r="J166" s="32"/>
      <c r="K166" s="9"/>
      <c r="L166" s="70"/>
    </row>
    <row r="167" spans="1:12" ht="117.75" customHeight="1" x14ac:dyDescent="0.25">
      <c r="A167" s="47">
        <v>19</v>
      </c>
      <c r="B167" s="145" t="str">
        <f>+B117</f>
        <v>CONSORCIO URBANO LA-PA
CICA INGENIERIA E INTERVENTORIA S.A.S.   50%
GEAGOR S.A.S BIC  50%</v>
      </c>
      <c r="C167" s="146"/>
      <c r="D167" s="91" t="s">
        <v>25</v>
      </c>
      <c r="E167" s="91"/>
      <c r="F167" s="91"/>
      <c r="G167" s="91"/>
      <c r="H167" s="92"/>
      <c r="I167" s="32"/>
      <c r="J167" s="32"/>
      <c r="K167" s="9"/>
      <c r="L167" s="70"/>
    </row>
    <row r="168" spans="1:12" ht="117.75" customHeight="1" x14ac:dyDescent="0.25">
      <c r="A168" s="47">
        <v>20</v>
      </c>
      <c r="B168" s="145" t="str">
        <f>+B118</f>
        <v>INGEANDINA CONSULTORES DE INGENIERÍA S.A.S.</v>
      </c>
      <c r="C168" s="146"/>
      <c r="D168" s="91" t="s">
        <v>25</v>
      </c>
      <c r="E168" s="91"/>
      <c r="F168" s="91"/>
      <c r="G168" s="91"/>
      <c r="H168" s="92"/>
      <c r="I168" s="32"/>
      <c r="J168" s="32"/>
      <c r="K168" s="9"/>
      <c r="L168" s="70"/>
    </row>
    <row r="169" spans="1:12" ht="117.75" customHeight="1" x14ac:dyDescent="0.25">
      <c r="A169" s="47">
        <v>21</v>
      </c>
      <c r="B169" s="145" t="str">
        <f>+B119</f>
        <v>CONSORCIO TRANSITO CAPITAL
DAIMCO S.A.S. 90%
DIBENEM S.A.S.  10%</v>
      </c>
      <c r="C169" s="146"/>
      <c r="D169" s="91" t="s">
        <v>25</v>
      </c>
      <c r="E169" s="91"/>
      <c r="F169" s="91"/>
      <c r="G169" s="91"/>
      <c r="H169" s="92"/>
      <c r="I169" s="32"/>
      <c r="J169" s="32"/>
      <c r="K169" s="9"/>
      <c r="L169" s="70"/>
    </row>
    <row r="170" spans="1:12" ht="117.75" customHeight="1" x14ac:dyDescent="0.25">
      <c r="A170" s="75">
        <v>22</v>
      </c>
      <c r="B170" s="164" t="str">
        <f>+B120</f>
        <v>CONSORCIO INTERVENTOR PROES - SOTA
PROES LATAM S.A.S.   60%
PROES COLOMBIA S.A.S  10%
SOCIEDAD TECNICA SOTA S.A.S.   30%</v>
      </c>
      <c r="C170" s="165"/>
      <c r="D170" s="117" t="s">
        <v>63</v>
      </c>
      <c r="E170" s="117"/>
      <c r="F170" s="117"/>
      <c r="G170" s="117"/>
      <c r="H170" s="118"/>
      <c r="I170" s="32"/>
      <c r="J170" s="32"/>
      <c r="K170" s="9"/>
      <c r="L170" s="70"/>
    </row>
    <row r="171" spans="1:12" x14ac:dyDescent="0.25">
      <c r="A171" s="9"/>
      <c r="B171" s="10"/>
      <c r="C171" s="10"/>
      <c r="D171" s="11"/>
      <c r="E171" s="36"/>
      <c r="F171" s="37"/>
      <c r="G171" s="32"/>
      <c r="H171" s="32"/>
      <c r="I171" s="32"/>
      <c r="J171" s="32"/>
      <c r="K171" s="9"/>
    </row>
    <row r="172" spans="1:12" x14ac:dyDescent="0.25">
      <c r="A172" s="9"/>
      <c r="B172" s="10"/>
      <c r="C172" s="10"/>
      <c r="D172" s="11"/>
      <c r="E172" s="36"/>
      <c r="F172" s="37"/>
      <c r="G172" s="32"/>
      <c r="H172" s="32"/>
      <c r="I172" s="32"/>
      <c r="J172" s="32"/>
      <c r="K172" s="9"/>
    </row>
    <row r="173" spans="1:12" ht="21" thickBot="1" x14ac:dyDescent="0.3">
      <c r="A173" s="9"/>
      <c r="B173" s="112"/>
      <c r="C173" s="113"/>
      <c r="D173" s="113"/>
      <c r="E173" s="113"/>
      <c r="F173" s="113"/>
      <c r="G173" s="113"/>
      <c r="H173" s="114"/>
      <c r="I173" s="32"/>
      <c r="J173" s="32"/>
      <c r="K173" s="9"/>
    </row>
    <row r="174" spans="1:12" ht="21" x14ac:dyDescent="0.25">
      <c r="A174" s="9"/>
      <c r="B174" s="42"/>
      <c r="C174" s="41"/>
      <c r="D174" s="115" t="s">
        <v>26</v>
      </c>
      <c r="E174" s="115"/>
      <c r="F174" s="115"/>
      <c r="G174" s="41"/>
      <c r="H174" s="41"/>
      <c r="I174" s="32"/>
      <c r="J174" s="32"/>
      <c r="K174" s="9"/>
    </row>
    <row r="175" spans="1:12" ht="28.5" customHeight="1" x14ac:dyDescent="0.25">
      <c r="A175" s="9"/>
      <c r="B175" s="42"/>
      <c r="C175" s="41"/>
      <c r="D175" s="116" t="s">
        <v>35</v>
      </c>
      <c r="E175" s="116"/>
      <c r="F175" s="116"/>
      <c r="G175" s="41"/>
      <c r="H175" s="41"/>
      <c r="I175" s="32"/>
      <c r="J175" s="32"/>
      <c r="K175" s="9"/>
    </row>
    <row r="176" spans="1:12" ht="61.5" customHeight="1" x14ac:dyDescent="0.25">
      <c r="A176" s="9"/>
      <c r="B176" s="42"/>
      <c r="C176" s="25"/>
      <c r="D176" s="40"/>
      <c r="E176" s="40"/>
      <c r="F176" s="40"/>
      <c r="G176" s="41"/>
      <c r="H176" s="41"/>
      <c r="I176" s="32"/>
      <c r="J176" s="32"/>
      <c r="K176" s="9"/>
    </row>
    <row r="177" spans="1:11" x14ac:dyDescent="0.25">
      <c r="A177" s="9"/>
      <c r="B177" s="10"/>
      <c r="C177" s="10"/>
      <c r="D177" s="109"/>
      <c r="E177" s="109"/>
      <c r="F177" s="109"/>
      <c r="G177" s="32"/>
      <c r="H177" s="32"/>
      <c r="I177" s="32"/>
      <c r="J177" s="32"/>
      <c r="K177" s="9"/>
    </row>
    <row r="178" spans="1:11" x14ac:dyDescent="0.25">
      <c r="A178" s="9"/>
      <c r="B178" s="10"/>
      <c r="C178" s="10"/>
      <c r="D178" s="11"/>
      <c r="E178" s="36"/>
      <c r="F178" s="37"/>
      <c r="G178" s="32"/>
      <c r="H178" s="32"/>
      <c r="I178" s="32"/>
      <c r="J178" s="32"/>
      <c r="K178" s="11"/>
    </row>
    <row r="179" spans="1:11" x14ac:dyDescent="0.25">
      <c r="A179" s="9"/>
      <c r="B179" s="10"/>
      <c r="C179" s="10"/>
      <c r="D179" s="11"/>
      <c r="E179" s="36"/>
      <c r="F179" s="37"/>
      <c r="G179" s="32"/>
      <c r="H179" s="32"/>
      <c r="I179" s="32"/>
      <c r="J179" s="32"/>
    </row>
    <row r="180" spans="1:11" x14ac:dyDescent="0.25">
      <c r="A180" s="9"/>
      <c r="B180" s="10"/>
      <c r="C180" s="10"/>
      <c r="D180" s="11"/>
      <c r="E180" s="36"/>
      <c r="F180" s="37"/>
      <c r="G180" s="32"/>
      <c r="H180" s="32"/>
      <c r="I180" s="32"/>
      <c r="J180" s="32"/>
    </row>
    <row r="181" spans="1:11" x14ac:dyDescent="0.25">
      <c r="A181" s="9"/>
      <c r="B181" s="10"/>
      <c r="C181" s="10"/>
      <c r="D181" s="11"/>
      <c r="E181" s="36"/>
      <c r="F181" s="37"/>
      <c r="G181" s="32"/>
      <c r="H181" s="32"/>
      <c r="I181" s="32"/>
      <c r="J181" s="32"/>
    </row>
    <row r="182" spans="1:11" x14ac:dyDescent="0.25">
      <c r="A182" s="9"/>
      <c r="B182" s="10"/>
      <c r="C182" s="10"/>
      <c r="D182" s="11"/>
      <c r="E182" s="36"/>
      <c r="F182" s="37"/>
      <c r="G182" s="32"/>
      <c r="H182" s="32"/>
      <c r="I182" s="32"/>
      <c r="J182" s="32"/>
      <c r="K182" s="11"/>
    </row>
    <row r="183" spans="1:11" x14ac:dyDescent="0.25">
      <c r="A183" s="9"/>
      <c r="B183" s="10"/>
      <c r="C183" s="10"/>
      <c r="D183" s="11"/>
      <c r="E183" s="36"/>
      <c r="F183" s="37"/>
      <c r="G183" s="32"/>
      <c r="H183" s="32"/>
      <c r="I183" s="32"/>
      <c r="J183" s="32"/>
    </row>
    <row r="184" spans="1:11" x14ac:dyDescent="0.25">
      <c r="A184" s="9"/>
      <c r="B184" s="10"/>
      <c r="C184" s="10"/>
      <c r="D184" s="11"/>
      <c r="E184" s="36"/>
      <c r="F184" s="37"/>
      <c r="G184" s="32"/>
      <c r="H184" s="32"/>
      <c r="I184" s="32"/>
      <c r="J184" s="32"/>
      <c r="K184" s="11"/>
    </row>
    <row r="185" spans="1:11" x14ac:dyDescent="0.25">
      <c r="A185" s="9"/>
      <c r="B185" s="10"/>
      <c r="C185" s="10"/>
      <c r="D185" s="11"/>
      <c r="E185" s="36"/>
      <c r="F185" s="37"/>
      <c r="G185" s="32"/>
      <c r="H185" s="32"/>
      <c r="I185" s="32"/>
      <c r="J185" s="32"/>
      <c r="K185" s="11"/>
    </row>
    <row r="186" spans="1:11" x14ac:dyDescent="0.25">
      <c r="A186" s="9"/>
      <c r="B186" s="10"/>
      <c r="C186" s="10"/>
      <c r="D186" s="11"/>
      <c r="E186" s="36"/>
      <c r="F186" s="37"/>
      <c r="G186" s="32"/>
      <c r="H186" s="32"/>
      <c r="I186" s="32"/>
      <c r="J186" s="32"/>
      <c r="K186" s="11"/>
    </row>
    <row r="187" spans="1:11" x14ac:dyDescent="0.25">
      <c r="A187" s="9"/>
      <c r="B187" s="10"/>
      <c r="C187" s="10"/>
      <c r="D187" s="11"/>
      <c r="E187" s="36"/>
      <c r="F187" s="37"/>
      <c r="G187" s="32"/>
      <c r="H187" s="32"/>
      <c r="I187" s="32"/>
      <c r="J187" s="32"/>
      <c r="K187" s="11"/>
    </row>
    <row r="188" spans="1:11" x14ac:dyDescent="0.25">
      <c r="A188" s="9"/>
      <c r="B188" s="10"/>
      <c r="C188" s="10"/>
      <c r="D188" s="11"/>
      <c r="E188" s="36"/>
      <c r="F188" s="37"/>
      <c r="G188" s="32"/>
      <c r="H188" s="32"/>
      <c r="I188" s="32"/>
      <c r="J188" s="32"/>
      <c r="K188" s="11"/>
    </row>
    <row r="189" spans="1:11" x14ac:dyDescent="0.25">
      <c r="A189" s="9"/>
      <c r="B189" s="10"/>
      <c r="C189" s="10"/>
      <c r="D189" s="11"/>
      <c r="E189" s="36"/>
      <c r="F189" s="37"/>
      <c r="G189" s="32"/>
      <c r="H189" s="32"/>
      <c r="I189" s="32"/>
      <c r="J189" s="32"/>
      <c r="K189" s="33"/>
    </row>
    <row r="190" spans="1:11" x14ac:dyDescent="0.25">
      <c r="A190" s="9"/>
      <c r="B190" s="10"/>
      <c r="C190" s="10"/>
      <c r="D190" s="11"/>
      <c r="E190" s="36"/>
      <c r="F190" s="37"/>
      <c r="G190" s="32"/>
      <c r="H190" s="32"/>
      <c r="I190" s="32"/>
      <c r="J190" s="32"/>
      <c r="K190" s="33"/>
    </row>
    <row r="191" spans="1:11" x14ac:dyDescent="0.25">
      <c r="A191" s="9"/>
      <c r="B191" s="10"/>
      <c r="C191" s="10"/>
      <c r="D191" s="11"/>
      <c r="E191" s="36"/>
      <c r="F191" s="37"/>
      <c r="G191" s="32"/>
      <c r="H191" s="32"/>
      <c r="I191" s="11"/>
      <c r="J191" s="11"/>
      <c r="K191" s="33"/>
    </row>
    <row r="192" spans="1:11" x14ac:dyDescent="0.25">
      <c r="A192" s="9"/>
      <c r="B192" s="10"/>
      <c r="C192" s="10"/>
      <c r="D192" s="11"/>
      <c r="E192" s="36"/>
      <c r="F192" s="37"/>
      <c r="G192" s="32"/>
      <c r="H192" s="32"/>
      <c r="K192" s="33"/>
    </row>
    <row r="193" spans="1:11" x14ac:dyDescent="0.25">
      <c r="A193" s="9"/>
      <c r="B193" s="10"/>
      <c r="C193" s="10"/>
      <c r="D193" s="11"/>
      <c r="E193" s="36"/>
      <c r="F193" s="37"/>
      <c r="G193" s="32"/>
      <c r="H193" s="32"/>
      <c r="K193" s="43"/>
    </row>
    <row r="194" spans="1:11" x14ac:dyDescent="0.25">
      <c r="A194" s="9"/>
      <c r="B194" s="10"/>
      <c r="C194" s="10"/>
      <c r="D194" s="11"/>
      <c r="E194" s="36"/>
      <c r="F194" s="37"/>
      <c r="G194" s="32"/>
      <c r="H194" s="32"/>
    </row>
    <row r="195" spans="1:11" x14ac:dyDescent="0.25">
      <c r="A195" s="9"/>
      <c r="B195" s="10"/>
      <c r="C195" s="10"/>
      <c r="D195" s="11"/>
      <c r="E195" s="36"/>
      <c r="F195" s="37"/>
      <c r="G195" s="32"/>
      <c r="H195" s="32"/>
    </row>
    <row r="196" spans="1:11" x14ac:dyDescent="0.25">
      <c r="A196" s="9"/>
      <c r="B196" s="10"/>
      <c r="C196" s="10"/>
      <c r="D196" s="11"/>
      <c r="E196" s="36"/>
      <c r="F196" s="37"/>
      <c r="G196" s="32"/>
      <c r="H196" s="32"/>
    </row>
    <row r="197" spans="1:11" x14ac:dyDescent="0.25">
      <c r="A197" s="9"/>
      <c r="B197" s="10"/>
      <c r="C197" s="10"/>
      <c r="D197" s="11"/>
      <c r="E197" s="36"/>
      <c r="F197" s="37"/>
      <c r="G197" s="32"/>
      <c r="H197" s="32"/>
    </row>
    <row r="198" spans="1:11" x14ac:dyDescent="0.25">
      <c r="A198" s="9"/>
      <c r="B198" s="10"/>
      <c r="C198" s="10"/>
      <c r="D198" s="11"/>
      <c r="E198" s="36"/>
      <c r="F198" s="37"/>
      <c r="G198" s="32"/>
      <c r="H198" s="32"/>
    </row>
    <row r="199" spans="1:11" x14ac:dyDescent="0.25">
      <c r="A199" s="9"/>
      <c r="B199" s="10"/>
      <c r="C199" s="10"/>
      <c r="D199" s="11"/>
      <c r="E199" s="36"/>
      <c r="F199" s="37"/>
      <c r="G199" s="32"/>
      <c r="H199" s="32"/>
    </row>
    <row r="200" spans="1:11" x14ac:dyDescent="0.25">
      <c r="A200" s="9"/>
      <c r="B200" s="6"/>
      <c r="C200" s="6"/>
      <c r="D200" s="2"/>
      <c r="E200" s="36"/>
      <c r="F200" s="37"/>
      <c r="G200" s="32"/>
      <c r="H200" s="32"/>
      <c r="I200" s="10"/>
      <c r="J200" s="10"/>
    </row>
    <row r="209" spans="4:4" x14ac:dyDescent="0.25">
      <c r="D209" s="38"/>
    </row>
    <row r="210" spans="4:4" x14ac:dyDescent="0.25">
      <c r="D210" s="38"/>
    </row>
    <row r="211" spans="4:4" x14ac:dyDescent="0.25">
      <c r="D211" s="38"/>
    </row>
    <row r="212" spans="4:4" x14ac:dyDescent="0.25">
      <c r="D212" s="38"/>
    </row>
    <row r="213" spans="4:4" x14ac:dyDescent="0.25">
      <c r="D213" s="38"/>
    </row>
  </sheetData>
  <mergeCells count="246">
    <mergeCell ref="B169:C169"/>
    <mergeCell ref="D169:H169"/>
    <mergeCell ref="D46:D48"/>
    <mergeCell ref="B46:C48"/>
    <mergeCell ref="A46:A48"/>
    <mergeCell ref="B89:C91"/>
    <mergeCell ref="A89:A91"/>
    <mergeCell ref="B168:C168"/>
    <mergeCell ref="D168:H168"/>
    <mergeCell ref="A44:A45"/>
    <mergeCell ref="B44:C45"/>
    <mergeCell ref="D44:D45"/>
    <mergeCell ref="A87:A88"/>
    <mergeCell ref="B87:C88"/>
    <mergeCell ref="B119:C119"/>
    <mergeCell ref="B144:C144"/>
    <mergeCell ref="E144:I144"/>
    <mergeCell ref="B167:C167"/>
    <mergeCell ref="D167:H167"/>
    <mergeCell ref="B43:C43"/>
    <mergeCell ref="I43:J43"/>
    <mergeCell ref="B86:C86"/>
    <mergeCell ref="B118:C118"/>
    <mergeCell ref="B143:C143"/>
    <mergeCell ref="E143:I143"/>
    <mergeCell ref="I44:J45"/>
    <mergeCell ref="B166:C166"/>
    <mergeCell ref="D166:H166"/>
    <mergeCell ref="A41:A42"/>
    <mergeCell ref="B41:C42"/>
    <mergeCell ref="D41:D42"/>
    <mergeCell ref="A84:A85"/>
    <mergeCell ref="B84:C85"/>
    <mergeCell ref="B117:C117"/>
    <mergeCell ref="B142:C142"/>
    <mergeCell ref="E142:I142"/>
    <mergeCell ref="B165:C165"/>
    <mergeCell ref="D165:H165"/>
    <mergeCell ref="A39:A40"/>
    <mergeCell ref="B39:C40"/>
    <mergeCell ref="D39:D40"/>
    <mergeCell ref="A82:A83"/>
    <mergeCell ref="B82:C83"/>
    <mergeCell ref="B116:C116"/>
    <mergeCell ref="B141:C141"/>
    <mergeCell ref="E141:I141"/>
    <mergeCell ref="I41:J42"/>
    <mergeCell ref="D164:H164"/>
    <mergeCell ref="B164:C164"/>
    <mergeCell ref="A37:A38"/>
    <mergeCell ref="B37:C38"/>
    <mergeCell ref="D37:D38"/>
    <mergeCell ref="A80:A81"/>
    <mergeCell ref="B80:C81"/>
    <mergeCell ref="B115:C115"/>
    <mergeCell ref="B114:C114"/>
    <mergeCell ref="B140:C140"/>
    <mergeCell ref="E140:I140"/>
    <mergeCell ref="I39:J40"/>
    <mergeCell ref="B163:C163"/>
    <mergeCell ref="D163:H163"/>
    <mergeCell ref="A35:A36"/>
    <mergeCell ref="B35:C36"/>
    <mergeCell ref="D35:D36"/>
    <mergeCell ref="A78:A79"/>
    <mergeCell ref="B78:C79"/>
    <mergeCell ref="E139:I139"/>
    <mergeCell ref="B139:C139"/>
    <mergeCell ref="I37:J38"/>
    <mergeCell ref="B162:C162"/>
    <mergeCell ref="D162:H162"/>
    <mergeCell ref="B34:C34"/>
    <mergeCell ref="I34:J34"/>
    <mergeCell ref="B113:C113"/>
    <mergeCell ref="B138:C138"/>
    <mergeCell ref="E138:I138"/>
    <mergeCell ref="I35:J36"/>
    <mergeCell ref="B161:C161"/>
    <mergeCell ref="D161:H161"/>
    <mergeCell ref="A32:A33"/>
    <mergeCell ref="B32:C33"/>
    <mergeCell ref="D32:D33"/>
    <mergeCell ref="A75:A76"/>
    <mergeCell ref="B75:C76"/>
    <mergeCell ref="B112:C112"/>
    <mergeCell ref="B137:C137"/>
    <mergeCell ref="E137:I137"/>
    <mergeCell ref="B160:C160"/>
    <mergeCell ref="D160:H160"/>
    <mergeCell ref="A30:A31"/>
    <mergeCell ref="B30:C31"/>
    <mergeCell ref="D30:D31"/>
    <mergeCell ref="A73:A74"/>
    <mergeCell ref="B73:C74"/>
    <mergeCell ref="B111:C111"/>
    <mergeCell ref="B136:C136"/>
    <mergeCell ref="E136:I136"/>
    <mergeCell ref="I32:J33"/>
    <mergeCell ref="B159:C159"/>
    <mergeCell ref="D159:H159"/>
    <mergeCell ref="A28:A29"/>
    <mergeCell ref="B28:C29"/>
    <mergeCell ref="D28:D29"/>
    <mergeCell ref="A71:A72"/>
    <mergeCell ref="B71:C72"/>
    <mergeCell ref="B110:C110"/>
    <mergeCell ref="B135:C135"/>
    <mergeCell ref="E135:I135"/>
    <mergeCell ref="I30:J31"/>
    <mergeCell ref="B158:C158"/>
    <mergeCell ref="D158:H158"/>
    <mergeCell ref="B27:C27"/>
    <mergeCell ref="I27:J27"/>
    <mergeCell ref="B109:C109"/>
    <mergeCell ref="B134:C134"/>
    <mergeCell ref="E134:I134"/>
    <mergeCell ref="I28:J29"/>
    <mergeCell ref="B157:C157"/>
    <mergeCell ref="D157:H157"/>
    <mergeCell ref="A25:A26"/>
    <mergeCell ref="B25:C26"/>
    <mergeCell ref="D25:D26"/>
    <mergeCell ref="A68:A69"/>
    <mergeCell ref="B68:C69"/>
    <mergeCell ref="B108:C108"/>
    <mergeCell ref="B133:C133"/>
    <mergeCell ref="E133:I133"/>
    <mergeCell ref="B156:C156"/>
    <mergeCell ref="D156:H156"/>
    <mergeCell ref="A23:A24"/>
    <mergeCell ref="B23:C24"/>
    <mergeCell ref="D23:D24"/>
    <mergeCell ref="A66:A67"/>
    <mergeCell ref="B66:C67"/>
    <mergeCell ref="B77:C77"/>
    <mergeCell ref="B107:C107"/>
    <mergeCell ref="B132:C132"/>
    <mergeCell ref="E132:I132"/>
    <mergeCell ref="I25:J26"/>
    <mergeCell ref="B155:C155"/>
    <mergeCell ref="D155:H155"/>
    <mergeCell ref="B22:C22"/>
    <mergeCell ref="I22:J22"/>
    <mergeCell ref="B106:C106"/>
    <mergeCell ref="B131:C131"/>
    <mergeCell ref="E131:I131"/>
    <mergeCell ref="I23:J24"/>
    <mergeCell ref="B154:C154"/>
    <mergeCell ref="D154:H154"/>
    <mergeCell ref="A20:A21"/>
    <mergeCell ref="B20:C21"/>
    <mergeCell ref="D20:D21"/>
    <mergeCell ref="A63:A64"/>
    <mergeCell ref="B63:C64"/>
    <mergeCell ref="B105:C105"/>
    <mergeCell ref="B130:C130"/>
    <mergeCell ref="E130:I130"/>
    <mergeCell ref="B153:C153"/>
    <mergeCell ref="D153:H153"/>
    <mergeCell ref="A61:A62"/>
    <mergeCell ref="B61:C62"/>
    <mergeCell ref="A18:A19"/>
    <mergeCell ref="B18:C19"/>
    <mergeCell ref="D18:D19"/>
    <mergeCell ref="B70:C70"/>
    <mergeCell ref="B104:C104"/>
    <mergeCell ref="B129:C129"/>
    <mergeCell ref="E129:I129"/>
    <mergeCell ref="I20:J21"/>
    <mergeCell ref="B152:C152"/>
    <mergeCell ref="D152:H152"/>
    <mergeCell ref="A16:A17"/>
    <mergeCell ref="B16:C17"/>
    <mergeCell ref="D16:D17"/>
    <mergeCell ref="A59:A60"/>
    <mergeCell ref="B59:C60"/>
    <mergeCell ref="B103:C103"/>
    <mergeCell ref="B128:C128"/>
    <mergeCell ref="E128:I128"/>
    <mergeCell ref="I18:J19"/>
    <mergeCell ref="B151:C151"/>
    <mergeCell ref="D151:H151"/>
    <mergeCell ref="B15:C15"/>
    <mergeCell ref="I15:J15"/>
    <mergeCell ref="B126:C126"/>
    <mergeCell ref="E126:I126"/>
    <mergeCell ref="B145:C145"/>
    <mergeCell ref="E145:I145"/>
    <mergeCell ref="B58:C58"/>
    <mergeCell ref="B65:C65"/>
    <mergeCell ref="B102:C102"/>
    <mergeCell ref="B127:C127"/>
    <mergeCell ref="E127:I127"/>
    <mergeCell ref="I16:J17"/>
    <mergeCell ref="B150:C150"/>
    <mergeCell ref="D150:H150"/>
    <mergeCell ref="B125:C125"/>
    <mergeCell ref="E125:I125"/>
    <mergeCell ref="A13:A14"/>
    <mergeCell ref="B13:C14"/>
    <mergeCell ref="D13:D14"/>
    <mergeCell ref="I13:J14"/>
    <mergeCell ref="A56:A57"/>
    <mergeCell ref="B56:C57"/>
    <mergeCell ref="B101:C101"/>
    <mergeCell ref="B120:C120"/>
    <mergeCell ref="B124:C124"/>
    <mergeCell ref="B99:C99"/>
    <mergeCell ref="A97:C98"/>
    <mergeCell ref="B94:C94"/>
    <mergeCell ref="A53:A54"/>
    <mergeCell ref="B53:C54"/>
    <mergeCell ref="A123:C123"/>
    <mergeCell ref="E123:I123"/>
    <mergeCell ref="D177:F177"/>
    <mergeCell ref="D148:H148"/>
    <mergeCell ref="B173:H173"/>
    <mergeCell ref="D174:F174"/>
    <mergeCell ref="A148:C148"/>
    <mergeCell ref="D175:F175"/>
    <mergeCell ref="B170:C170"/>
    <mergeCell ref="D170:H170"/>
    <mergeCell ref="B149:C149"/>
    <mergeCell ref="A1:K1"/>
    <mergeCell ref="A8:C9"/>
    <mergeCell ref="A52:C52"/>
    <mergeCell ref="E8:H8"/>
    <mergeCell ref="B3:K3"/>
    <mergeCell ref="D8:D9"/>
    <mergeCell ref="C2:K2"/>
    <mergeCell ref="B4:C4"/>
    <mergeCell ref="I8:J9"/>
    <mergeCell ref="B12:C12"/>
    <mergeCell ref="I12:J12"/>
    <mergeCell ref="A10:A11"/>
    <mergeCell ref="B96:D96"/>
    <mergeCell ref="D97:K97"/>
    <mergeCell ref="B10:C11"/>
    <mergeCell ref="D10:D11"/>
    <mergeCell ref="I10:J11"/>
    <mergeCell ref="I46:J48"/>
    <mergeCell ref="B55:C55"/>
    <mergeCell ref="B100:C100"/>
    <mergeCell ref="E124:I124"/>
    <mergeCell ref="A147:H147"/>
    <mergeCell ref="D149:H149"/>
  </mergeCells>
  <phoneticPr fontId="0" type="noConversion"/>
  <printOptions verticalCentered="1"/>
  <pageMargins left="0.98425196850393704" right="0.11811023622047245" top="0.35433070866141736" bottom="0.35433070866141736" header="0.19685039370078741" footer="0.59055118110236227"/>
  <pageSetup scale="32" fitToHeight="0" orientation="portrait" r:id="rId1"/>
  <headerFooter scaleWithDoc="0">
    <oddFooter>&amp;RPágina &amp;P de &amp;N</oddFooter>
  </headerFooter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Evaluación</vt:lpstr>
      <vt:lpstr>Evaluación!Área_de_impresión</vt:lpstr>
      <vt:lpstr>Evaluación!Títulos_a_imprimir</vt:lpstr>
    </vt:vector>
  </TitlesOfParts>
  <Company>Transmilenio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Mónica-Parra</dc:creator>
  <cp:lastModifiedBy>Miguel Dario Duque Vargas</cp:lastModifiedBy>
  <cp:lastPrinted>2020-08-17T23:23:29Z</cp:lastPrinted>
  <dcterms:created xsi:type="dcterms:W3CDTF">2003-04-04T16:35:40Z</dcterms:created>
  <dcterms:modified xsi:type="dcterms:W3CDTF">2026-05-04T02:44:42Z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2023-06-13T16:38:49Z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d411b833-6550-4327-a00f-ecb9afa8f40f</vt:lpwstr>
  </property>
  <property fmtid="{D5CDD505-2E9C-101B-9397-08002B2CF9AE}" pid="8" name="MSIP_Label_6d4a1d0b-1085-4621-a04c-793d50865184_ContentBits">
    <vt:lpwstr>0</vt:lpwstr>
  </property>
</Properties>
</file>