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drawings/drawing8.xml" ContentType="application/vnd.openxmlformats-officedocument.drawing+xml"/>
  <Override PartName="/xl/tables/table7.xml" ContentType="application/vnd.openxmlformats-officedocument.spreadsheetml.table+xml"/>
  <Override PartName="/xl/drawings/drawing9.xml" ContentType="application/vnd.openxmlformats-officedocument.drawing+xml"/>
  <Override PartName="/xl/tables/table8.xml" ContentType="application/vnd.openxmlformats-officedocument.spreadsheetml.table+xml"/>
  <Override PartName="/xl/drawings/drawing10.xml" ContentType="application/vnd.openxmlformats-officedocument.drawing+xml"/>
  <Override PartName="/xl/tables/table9.xml" ContentType="application/vnd.openxmlformats-officedocument.spreadsheetml.table+xml"/>
  <Override PartName="/xl/drawings/drawing11.xml" ContentType="application/vnd.openxmlformats-officedocument.drawing+xml"/>
  <Override PartName="/xl/tables/table10.xml" ContentType="application/vnd.openxmlformats-officedocument.spreadsheetml.table+xml"/>
  <Override PartName="/xl/drawings/drawing12.xml" ContentType="application/vnd.openxmlformats-officedocument.drawing+xml"/>
  <Override PartName="/xl/tables/table1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mtranshv10amd.mt.loc\CONTRATOS\CONTRATOS\2026\FUMIGACIÓN-2026\PROCESO FUMIGACION - 2026\INFORME DE EVALUACIÓN\"/>
    </mc:Choice>
  </mc:AlternateContent>
  <xr:revisionPtr revIDLastSave="0" documentId="13_ncr:1_{1411BD4E-E57E-48BE-8EB0-F6ECAA09F50D}" xr6:coauthVersionLast="47" xr6:coauthVersionMax="47" xr10:uidLastSave="{00000000-0000-0000-0000-000000000000}"/>
  <bookViews>
    <workbookView xWindow="-120" yWindow="-120" windowWidth="29040" windowHeight="15720" tabRatio="876" xr2:uid="{00000000-000D-0000-FFFF-FFFF00000000}"/>
  </bookViews>
  <sheets>
    <sheet name="CONSOLIDADO" sheetId="19" r:id="rId1"/>
    <sheet name="CONTROL REGIONAL DE HIGIENE MAN" sheetId="53" r:id="rId2"/>
    <sheet name="D&amp;G INTEGRAL SERVICES SAS" sheetId="54" r:id="rId3"/>
    <sheet name="GLOBAL SANEAMIENTO AMBIENTAL SA" sheetId="50" r:id="rId4"/>
    <sheet name="AMBICOL SERVICES SAS" sheetId="51" r:id="rId5"/>
    <sheet name="ECOFLORA" sheetId="56" r:id="rId6"/>
    <sheet name="FUMISERVICES SAS" sheetId="15" r:id="rId7"/>
    <sheet name="EOS CGD SAS" sheetId="52" r:id="rId8"/>
    <sheet name="FUMISEX SAS" sheetId="49" r:id="rId9"/>
    <sheet name="FUMIGACIONES EL TRIUNFO CAR" sheetId="55" r:id="rId10"/>
    <sheet name="Ponderables" sheetId="5" state="hidden" r:id="rId11"/>
    <sheet name="SMMLV" sheetId="2" state="hidden" r:id="rId12"/>
    <sheet name="Experiencia (2)" sheetId="11" state="hidden" r:id="rId13"/>
  </sheets>
  <definedNames>
    <definedName name="_xlnm.Print_Area" localSheetId="12">'Experiencia (2)'!$B$2:$Z$30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26" i="56" l="1"/>
  <c r="O26" i="56"/>
  <c r="R26" i="56" s="1"/>
  <c r="S26" i="56" s="1"/>
  <c r="P25" i="56"/>
  <c r="O25" i="56"/>
  <c r="R25" i="56" s="1"/>
  <c r="S25" i="56" s="1"/>
  <c r="P24" i="56"/>
  <c r="O24" i="56"/>
  <c r="R24" i="56" s="1"/>
  <c r="S24" i="56" s="1"/>
  <c r="D14" i="56"/>
  <c r="D11" i="56"/>
  <c r="Q24" i="53"/>
  <c r="D12" i="52"/>
  <c r="P26" i="55"/>
  <c r="O26" i="55"/>
  <c r="R26" i="55" s="1"/>
  <c r="S26" i="55" s="1"/>
  <c r="P25" i="55"/>
  <c r="O25" i="55"/>
  <c r="R25" i="55" s="1"/>
  <c r="S25" i="55" s="1"/>
  <c r="P24" i="55"/>
  <c r="O24" i="55"/>
  <c r="R24" i="55" s="1"/>
  <c r="S24" i="55" s="1"/>
  <c r="D12" i="55" s="1"/>
  <c r="D14" i="55"/>
  <c r="D11" i="55"/>
  <c r="P26" i="54"/>
  <c r="O26" i="54"/>
  <c r="R26" i="54" s="1"/>
  <c r="S26" i="54" s="1"/>
  <c r="P25" i="54"/>
  <c r="O25" i="54"/>
  <c r="R25" i="54" s="1"/>
  <c r="S25" i="54" s="1"/>
  <c r="P24" i="54"/>
  <c r="O24" i="54"/>
  <c r="R24" i="54" s="1"/>
  <c r="S24" i="54" s="1"/>
  <c r="D12" i="54" s="1"/>
  <c r="D14" i="54"/>
  <c r="D11" i="54"/>
  <c r="P26" i="53"/>
  <c r="O26" i="53"/>
  <c r="R26" i="53" s="1"/>
  <c r="S26" i="53" s="1"/>
  <c r="P25" i="53"/>
  <c r="O25" i="53"/>
  <c r="R25" i="53" s="1"/>
  <c r="S25" i="53" s="1"/>
  <c r="P24" i="53"/>
  <c r="O24" i="53"/>
  <c r="R24" i="53" s="1"/>
  <c r="D14" i="53"/>
  <c r="D11" i="53"/>
  <c r="P26" i="52"/>
  <c r="O26" i="52"/>
  <c r="R26" i="52" s="1"/>
  <c r="S26" i="52" s="1"/>
  <c r="P25" i="52"/>
  <c r="O25" i="52"/>
  <c r="R25" i="52" s="1"/>
  <c r="S25" i="52" s="1"/>
  <c r="P24" i="52"/>
  <c r="O24" i="52"/>
  <c r="R24" i="52" s="1"/>
  <c r="S24" i="52" s="1"/>
  <c r="D14" i="52"/>
  <c r="D11" i="52"/>
  <c r="D12" i="51"/>
  <c r="P26" i="51"/>
  <c r="O26" i="51"/>
  <c r="R26" i="51" s="1"/>
  <c r="S26" i="51" s="1"/>
  <c r="P25" i="51"/>
  <c r="O25" i="51"/>
  <c r="R25" i="51" s="1"/>
  <c r="S25" i="51" s="1"/>
  <c r="P24" i="51"/>
  <c r="O24" i="51"/>
  <c r="R24" i="51" s="1"/>
  <c r="S24" i="51" s="1"/>
  <c r="D14" i="51"/>
  <c r="D11" i="51"/>
  <c r="P26" i="50"/>
  <c r="O26" i="50"/>
  <c r="R26" i="50" s="1"/>
  <c r="S26" i="50" s="1"/>
  <c r="P25" i="50"/>
  <c r="O25" i="50"/>
  <c r="R25" i="50" s="1"/>
  <c r="S25" i="50" s="1"/>
  <c r="P24" i="50"/>
  <c r="O24" i="50"/>
  <c r="R24" i="50" s="1"/>
  <c r="S24" i="50" s="1"/>
  <c r="D12" i="50" s="1"/>
  <c r="E12" i="50" s="1"/>
  <c r="D14" i="50"/>
  <c r="D11" i="50"/>
  <c r="P26" i="49"/>
  <c r="O26" i="49"/>
  <c r="R26" i="49" s="1"/>
  <c r="S26" i="49" s="1"/>
  <c r="P25" i="49"/>
  <c r="O25" i="49"/>
  <c r="R25" i="49" s="1"/>
  <c r="S25" i="49" s="1"/>
  <c r="P24" i="49"/>
  <c r="O24" i="49"/>
  <c r="R24" i="49" s="1"/>
  <c r="S24" i="49" s="1"/>
  <c r="D12" i="49" s="1"/>
  <c r="D14" i="49"/>
  <c r="D11" i="49"/>
  <c r="D12" i="56" l="1"/>
  <c r="E12" i="56" s="1"/>
  <c r="E12" i="55"/>
  <c r="E12" i="54"/>
  <c r="S24" i="53"/>
  <c r="E12" i="52"/>
  <c r="E12" i="49"/>
  <c r="E12" i="51"/>
  <c r="D11" i="15"/>
  <c r="B52" i="2"/>
  <c r="D12" i="53" l="1"/>
  <c r="E12" i="53" s="1"/>
  <c r="B50" i="2"/>
  <c r="B49" i="2"/>
  <c r="B48" i="2"/>
  <c r="B47" i="2"/>
  <c r="D14" i="15"/>
  <c r="B51" i="2" l="1"/>
  <c r="O26" i="15" l="1"/>
  <c r="P26" i="15"/>
  <c r="P24" i="15"/>
  <c r="O25" i="15"/>
  <c r="P25" i="15"/>
  <c r="O24" i="15"/>
  <c r="R24" i="15" s="1"/>
  <c r="R26" i="15" l="1"/>
  <c r="S26" i="15" s="1"/>
  <c r="R25" i="15"/>
  <c r="S25" i="15" s="1"/>
  <c r="S24" i="15"/>
  <c r="D12" i="15" s="1"/>
  <c r="P30" i="11"/>
  <c r="O30" i="11"/>
  <c r="R30" i="11" s="1"/>
  <c r="S30" i="11" s="1"/>
  <c r="P29" i="11"/>
  <c r="O29" i="11"/>
  <c r="R29" i="11" s="1"/>
  <c r="S29" i="11" s="1"/>
  <c r="P28" i="11"/>
  <c r="O28" i="11"/>
  <c r="R28" i="11" s="1"/>
  <c r="S28" i="11" s="1"/>
  <c r="D20" i="11"/>
  <c r="F19" i="11"/>
  <c r="F18" i="11"/>
  <c r="F17" i="11"/>
  <c r="F20" i="11" s="1"/>
  <c r="D14" i="11" s="1"/>
  <c r="D13" i="11"/>
  <c r="E14" i="11" l="1"/>
  <c r="E12" i="15"/>
  <c r="G30" i="5"/>
  <c r="G32" i="5" l="1"/>
  <c r="G36" i="5" s="1"/>
  <c r="B46" i="2" l="1"/>
  <c r="B45" i="2"/>
  <c r="B44" i="2"/>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<sst xmlns="http://schemas.openxmlformats.org/spreadsheetml/2006/main" count="1122" uniqueCount="229">
  <si>
    <t>MINISTERIO DE TRANSPORTE</t>
  </si>
  <si>
    <t>SUBDIRECCIÓN ADMINISTRATIVA Y FINANCIERA - GRUPO ADMINISTRACIÓN DE  BIENES Y SERVICIOS</t>
  </si>
  <si>
    <t>PROCESO SAMC-003-2026</t>
  </si>
  <si>
    <t>CONSOLIDADO EVALUACIÓN TECNICA</t>
  </si>
  <si>
    <t>PROPONENTE</t>
  </si>
  <si>
    <t>EXPERIENCIA</t>
  </si>
  <si>
    <t>ANEXO TECNICO</t>
  </si>
  <si>
    <t>CARTA DE PRESENTACIÓN</t>
  </si>
  <si>
    <t>SOSTENIBILIDAD AMBIENTAL</t>
  </si>
  <si>
    <t>CONCEPTO SANITARIO</t>
  </si>
  <si>
    <t>CERTIFICADO PLAGUICIDAS</t>
  </si>
  <si>
    <t>RESULTADO</t>
  </si>
  <si>
    <t>OBSERVACIONES</t>
  </si>
  <si>
    <t>AMBICOL SERVICES SAS</t>
  </si>
  <si>
    <t>NO CUMPLE</t>
  </si>
  <si>
    <t>CUMPLE</t>
  </si>
  <si>
    <t>Ver Hoja de Evaluación Detallada</t>
  </si>
  <si>
    <t>FUMISERVICES SAS</t>
  </si>
  <si>
    <t>FUMISEX SAS</t>
  </si>
  <si>
    <t>GLOBAL SANEAMIENTO AMBIENTAL SAS</t>
  </si>
  <si>
    <t>EOS CGD SAS</t>
  </si>
  <si>
    <t>CONTROL REGIONAL DE HIGIENE MANTENIMIENTO SAS</t>
  </si>
  <si>
    <t>D&amp;G INTEGRAL SERVICES SAS</t>
  </si>
  <si>
    <t>FUMIGACIONES EL TRIUNFO CAR</t>
  </si>
  <si>
    <t>ECOFLORA</t>
  </si>
  <si>
    <t>Elaborado por: Carolina Olaya Rincon</t>
  </si>
  <si>
    <t>Fecha de Verificación 05/05/2026</t>
  </si>
  <si>
    <t>EVALUACIÓN TÉCNICA</t>
  </si>
  <si>
    <t>SAMC-003-2026</t>
  </si>
  <si>
    <t>OBJETO: SEG0844 “PRESTACIÓN DE SERVICIOS DE DESINFECCIÓN, FUMIGACIÓN Y TERMO NEBULIZACIÓN DE ARCHIVOS EN LAS SEDES DE BOGOTÁ, DIRECCIONES TERRITORIALES E INSPECCIONES FLUVIALES DEL MINISTERIO DE TRANSPORTE”.</t>
  </si>
  <si>
    <t>Presupuesto oficial estimado (POE)</t>
  </si>
  <si>
    <t xml:space="preserve">AÑO ACTUAL </t>
  </si>
  <si>
    <t>Presupuesto oficial estimado (SMMLV)</t>
  </si>
  <si>
    <t>100% del POE  (EXPERIENCIA ACREDITADA)</t>
  </si>
  <si>
    <t xml:space="preserve">Nombre del Proponente </t>
  </si>
  <si>
    <t>No. Contratos Aportados</t>
  </si>
  <si>
    <r>
      <t xml:space="preserve">CRITERIOS DE SOSTENIBILIDAD AMBIENTAL
</t>
    </r>
    <r>
      <rPr>
        <sz val="11"/>
        <rFont val="Calibri"/>
        <family val="2"/>
        <scheme val="minor"/>
      </rPr>
      <t>El proponente deberá anexar declaración juramentada en la que se compromete con lo siguiente:
a. Contar con plan de Gestión integral para los residuos peligrosos generados en su actividad, incluido el
mantenimiento, según lo establecido en el Decreto 1076 de 2015, o la normativa que lo sustituya.
b. El manejo y la disposición final que le dará a los residuos peligrosos generados durante la prestación del
servicio, dando cumplimiento a lo establecido en el Decreto 1076 Título 6 Capítulo 1 Sección 3 artículo
2.2.6.1.3.1 o la normativa que lo sustituya, así como la entrega del(los) certificado(s) de disposición final o
de aprovechamiento de los Residuos peligrosos - RESPEL generados durante el servicio.
c. Acogerse a las buenas prácticas ambientales establecidas en el Ministerio de Transporte.</t>
    </r>
  </si>
  <si>
    <t>Se anexa</t>
  </si>
  <si>
    <t>Concepto Sanitario Vigente expedido por la autoridad sanitaria ambiental.</t>
  </si>
  <si>
    <t>Certificación en Uso, Aplicación y manejo Seguro de Plaguicidas a los trabajadores de la empresa proponente, expedida por el Sena, Entidad Educativa o Instructor Autorizado (art 173, c174, 175 decreto 1843/91).</t>
  </si>
  <si>
    <t>DILIGENCIAMIENTO DE LA CARTA DE PRESENTACIÒN DE LA PROPUESTA</t>
  </si>
  <si>
    <t>DILIGENCIAMIENTO ANEXO FICHA TECNICO</t>
  </si>
  <si>
    <t>RESULTADO EVALUACIÓN</t>
  </si>
  <si>
    <t>Revisar observaciones</t>
  </si>
  <si>
    <t>CÓDIGOS DE CLASIFICACIÓN UNSPSC</t>
  </si>
  <si>
    <t xml:space="preserve">No. </t>
  </si>
  <si>
    <t>Entidad Contratante</t>
  </si>
  <si>
    <t>Contratista o Integrante que aporta experiencia</t>
  </si>
  <si>
    <t>No contrato</t>
  </si>
  <si>
    <t>Certificación / Acta de Liquidación</t>
  </si>
  <si>
    <t>Objeto</t>
  </si>
  <si>
    <t>Indivicual / Consorcio / UT</t>
  </si>
  <si>
    <t>% de Participacion</t>
  </si>
  <si>
    <t>Documento de 
asociación</t>
  </si>
  <si>
    <t># Consecutivo RUP</t>
  </si>
  <si>
    <t>SMMLV RUP</t>
  </si>
  <si>
    <t>Fecha de Inicio</t>
  </si>
  <si>
    <t>Fecha de Terminacion</t>
  </si>
  <si>
    <t>Año de Terminación</t>
  </si>
  <si>
    <t>Total SMMLV * % Participación (RUP)</t>
  </si>
  <si>
    <t>Valor Total Ejecutado del Contrato ($)</t>
  </si>
  <si>
    <t>SMMLV AÑO DE TERMINACIÓN</t>
  </si>
  <si>
    <t>Valor Total Ejecutado del Contrato expresado en SMMLV</t>
  </si>
  <si>
    <t>70111700</t>
  </si>
  <si>
    <t>70141600</t>
  </si>
  <si>
    <t>72102100</t>
  </si>
  <si>
    <t>72154000</t>
  </si>
  <si>
    <t>76101500</t>
  </si>
  <si>
    <t>78141600</t>
  </si>
  <si>
    <t>Desinfección</t>
  </si>
  <si>
    <t>Fumigación</t>
  </si>
  <si>
    <t>Termonebulización</t>
  </si>
  <si>
    <t>FORMATO EXPERIENCIA HABILITANTE DEL PROPONENTE</t>
  </si>
  <si>
    <t>RESULTADO
CUMPLE / NO CUMPLE</t>
  </si>
  <si>
    <t>AGENCIA NACIONAL DE TIERRAS</t>
  </si>
  <si>
    <t>ANT-20234310</t>
  </si>
  <si>
    <t>Acta de liquidacion</t>
  </si>
  <si>
    <t>Contratar el servicio de saneamiento ambiental preventivo y desinsectación ambiental para los archivos de la Agencia Nacional de Tierras – ANT</t>
  </si>
  <si>
    <t>I</t>
  </si>
  <si>
    <t>NA</t>
  </si>
  <si>
    <t>CUM´PLE</t>
  </si>
  <si>
    <t>NO ACREDITA</t>
  </si>
  <si>
    <r>
      <t xml:space="preserve">El proponente no cumple con lo establecido en el pliego de condiciones, apartado 3.3.4 EXPERIENCIA DEL PROPONENTE, en donde se menciona: 
"Que el objeto y/o alcance y/o las actividades ejecutadas dentro de los contratos certificados </t>
    </r>
    <r>
      <rPr>
        <b/>
        <u/>
        <sz val="11"/>
        <color rgb="FFFF0000"/>
        <rFont val="Calibri"/>
        <family val="2"/>
        <scheme val="minor"/>
      </rPr>
      <t xml:space="preserve">en
sumatoria </t>
    </r>
    <r>
      <rPr>
        <sz val="11"/>
        <color rgb="FFFF0000"/>
        <rFont val="Calibri"/>
        <family val="2"/>
        <scheme val="minor"/>
      </rPr>
      <t>estén relacionados con las siguientes actividades:
•Desinfección
•Fumigación
•Termo nebulización de archivos
Cada contrato aportado deberá acreditar como mínimo alguna de las actividades relacionadas anteriormente."
Dentro de la documentación aportado no se observa que se haya realizado la actividad de termonebulización de archivos, adicionalmente se exige como documento principal la certificación como se evidencia a continuación "Así mismo, en el evento que las certificaciones no contengan la información que permita su evaluación, el proponente deberá adjuntar de manera complementaria copia del contrato o de los documentos soporte expedidos por los contratantes que sean del caso, que permita verificar la información faltante."
Motivo por el cual, el proponente no cumple y debera subsanar durante el termino de traslado del informe de evaluación</t>
    </r>
  </si>
  <si>
    <t>INSTITUTO DISTRITAL DE RECREACIÓN Y DEPORTE</t>
  </si>
  <si>
    <t>2925 de 2019</t>
  </si>
  <si>
    <t>Certificacion y Acta de liquidacion</t>
  </si>
  <si>
    <t>CONTRATAR EL SERVICIO DE FUMIGACION PARA INSECTOS CONTROL DE ROEDORES Y DESINFECCION DE AREAS EN LOS DIFERENTES PARQUES ADMINISTRADOS POR EL IDRD UBICADOS EN BOGOTA DC Y EN LA SEDE ADMINISTRATIVA DEL IDRD</t>
  </si>
  <si>
    <r>
      <t>El proponente no cumple con lo establecido en el pliego de condiciones, apartado 3.3.4 EXPERIENCIA DEL PROPONENTE, en donde se menciona: 
"Que el objeto y/o alcance y/o las actividades ejecutadas dentro de los contratos certificados</t>
    </r>
    <r>
      <rPr>
        <b/>
        <u/>
        <sz val="11"/>
        <color rgb="FFFF0000"/>
        <rFont val="Calibri"/>
        <family val="2"/>
        <scheme val="minor"/>
      </rPr>
      <t xml:space="preserve"> en
sumatoria </t>
    </r>
    <r>
      <rPr>
        <sz val="11"/>
        <color rgb="FFFF0000"/>
        <rFont val="Calibri"/>
        <family val="2"/>
        <scheme val="minor"/>
      </rPr>
      <t>estén relacionados con las siguientes actividades:
•Desinfección
•Fumigación
•Termo nebulización de archivos
Cada contrato aportado deberá acreditar como mínimo alguna de las actividades relacionadas anteriormente."
Dentro de la documentación aportado no se observa que se haya realizado la actividad de termonebulización de archivos.
Motivo por el cual, el proponente no cumple y debera subsanar durante el termino de traslado del informe de evaluación</t>
    </r>
  </si>
  <si>
    <t>No se anexa documento</t>
  </si>
  <si>
    <t>El proponente no aporta el formato de experiencia habilitante del proponente, lo cual no permite revisar los contratos relacionados ni la información de estos en el RUP. Motivo por el cual no cumple, y debera subsanar en el termino de traslado de la evaluación</t>
  </si>
  <si>
    <t>FUMISEX - FUMIGACIÓN SANIDAD AMBIENTAL Y EQUIPOS SAS</t>
  </si>
  <si>
    <t>SECRETARIA DE EDUCACIÓN DEL DISTRITO</t>
  </si>
  <si>
    <t>CO1.PCCNTR.5401687</t>
  </si>
  <si>
    <t>Certificacion</t>
  </si>
  <si>
    <t>Prestar el servicio de poda y  corte de cesped; manejo integral de control de plagas,  y el de lavado especializado  de tanques de  almacenamiento de agua  potable para las sedes administrativas de la  SECRETARIA DE  EDUCACIÃfiN DEL DISTRITO</t>
  </si>
  <si>
    <t>El objeto de contrato contiene actividades diferentes a las solicitadas dentro del presente proceso de contratación, por lo cual se da apliación a lo establecido en la NOTA 1: "En caso de presentar certificaciones de experiencia en donde se ejecutaron actividades distintas a las solicitadas, se tendrá en cuenta únicamente el valor de las actividades requeridas para acreditar laexperiencia indicada en la(s) viñeta(s) I, II y III para lo cual el proponente deberá anexar documento expedidopor la entidad contratante donde se evidencie los valores de las actividades desarrolladas, con el fin de establecer el valor de las actividades a acreditar." Adicionalmente, se evidencia el valor total del contrato, más no el valor ejecutado, como lo exige el pliego de condiciones en el apartado 3.3.4.1. CONDICIONES GENERALES PARA LA PRESENTACIÓN DE CERTIFICACIONES DE EXPERIENCIA.
Motivo por el cual, el proponente no cumple y debera subsanar durante el termino de traslado del informe de evaluación</t>
  </si>
  <si>
    <t>INSTITUTO COLOMBIANO AGROPECUARIO</t>
  </si>
  <si>
    <t>GGC-376-2021</t>
  </si>
  <si>
    <t>Fumigacion ambiental y de archivos, desinsectacion, desratizacion, control, y exclusion de especies voladoras y manejo integrado de plaga's-MIP en las sedes y laboratorios del lCA en Bogotá y  Cundinamarca.</t>
  </si>
  <si>
    <t>MINISTERIO DE DEFENSA NACIONAL</t>
  </si>
  <si>
    <t>135-2020</t>
  </si>
  <si>
    <t>Acta de terminacion</t>
  </si>
  <si>
    <t>PRESTACION DEL SERVICIO PARA LA DESINSECTACION, DESINFECCIOiN FANGICA Y BACTERIANA Y DESRATIZACION CON DESTINO A LA INSTALACION DEL ARCHIVO GENERAL DEL MINISTERIO DE DEFENSA NACIONAL</t>
  </si>
  <si>
    <t>GLOBARL SANEAMIENTO AMBIENTAL SAS</t>
  </si>
  <si>
    <t>No se adjunta documento</t>
  </si>
  <si>
    <t>Unidad Administrativa Especial de Gestión de Restitución de Tierras Despojadas (UAEGRTD)</t>
  </si>
  <si>
    <t>Servicios de desinfección, fumigación y control de plagas (según certificación aportada)</t>
  </si>
  <si>
    <t>El proponente adjunta formato de experiencia habilitante del proponente, sin embargo los objetos relacionacods en los contratos consignados no concuerdan con las certificaciones aportadas, por lo cual no son revisadas.
De igual amnera,el proponente no cumple con lo establecido en el pliego de condiciones, apartado 3.3.4 EXPERIENCIA DEL PROPONENTE, en donde se menciona: 
"Que el objeto y/o alcance y/o las actividades ejecutadas dentro de los contratos certificados en sumatoria estén relacionados con las siguientes actividades:
•Desinfección     •Fumigación      •Termo nebulización de archivos
Cada contrato aportado deberá acreditar como mínimo alguna de las actividades relacionadas anteriormente."
Dentro de la documentación aportado no se observa que se haya realizado la actividad de termonebulización de archivos.
Motivo por el cual, el proponente no cumple y debera subsanar durante el termino de traslado del informe de evaluación</t>
  </si>
  <si>
    <t>INSTITUTO DISTRITAL PARA LA PROTECCIÓN DE LA NIÑEZ Y LA JUVENTUD IDIPRON</t>
  </si>
  <si>
    <t>2028-2023</t>
  </si>
  <si>
    <t>Certificacion y acta de liquidacion</t>
  </si>
  <si>
    <t>PRESTAR EL SERVICIO DE FUMIGACION CONTROL DE PLAGAS Y LAVADO DE TANQUES DEALMACENAMIENTO DE AGUA PARA CONSUMO HUMANO DEL IDIPRON O DE AQUELLAS QUE ESTAN
BAJO SU RESPONSABILIDAD.</t>
  </si>
  <si>
    <t>El proponente no cumple con lo establecido en el pliego de condiciones, apartado 3.3.4 EXPERIENCIA DEL PROPONENTE, en donde se menciona: 
"Que el objeto y/o alcance y/o las actividades ejecutadas dentro de los contratos certificados en sumatoria estén relacionados con las siguientes actividades:
•Desinfección    •Fumigación    •Termo nebulización de archivos
Cada contrato aportado deberá acreditar como mínimo alguna de las actividades relacionadas anteriormente."
Dentro de la documentación aportado no se observa que se haya realizado la actividad de termonebulización de archivos ni desinfección, adicionalmente se exige como documento principal la certificación como se evidencia a continuación "Así mismo, en el evento que las certificaciones no contengan la información que permita su evaluación, el proponente deberá adjuntar de manera complementaria copia del contrato o de los documentos soporte expedidos por los contratantes que sean del caso, que permita verificar la información faltante."
Adicionalmente, el objeto de contrato contiene actividades diferentes a las solicitadas dentro del presente proceso de contratación, por lo cual se da apliación a lo establecido en la NOTA 1: "En caso de presentar certificaciones de experiencia en donde se ejecutaron actividades distintas a las solicitadas, se tendrá en cuenta únicamente el valor de las actividades requeridas para acreditar laexperiencia indicada en la(s) viñeta(s) I, II y III para lo cual el proponente deberá anexar documento expedidopor la entidad contratante donde se evidencie los valores de las actividades desarrolladas, con el fin de establecer el valor de las actividades a acreditar."
Motivo por el cual, el proponente no cumple y debera subsanar durante el termino de traslado del informe de evaluación</t>
  </si>
  <si>
    <t>BANCO AGRARIO DE COLOMBIA</t>
  </si>
  <si>
    <t>Servicio de fumigación, desyerbe, podas, limpieza de
solares, lavado de fachadas para las oficinas adscritas a las
Zonales Arauca y Territorios de la Regional Bogotá.</t>
  </si>
  <si>
    <t>Dentro de la documentación aprotada se relacionan muchos contratos, por lo cual no es posible identificar en cuales pretende acreditar la experiencia el proponente, ya que tampoco se relaciona el numero del contrato en cuestión. El formato establecido por el Ministerio de Transporte cuenta con el campo de numero de contrato, sin embargo el proponente no lo relaciona.
Motivo por el cual, el proponente no cumple y debera subsanar durante el termino de traslado del informe de evaluación</t>
  </si>
  <si>
    <t>Prestar el servicio de fumigación, control de roedores y
plagas, poda, desyerbe, lavado de tanques y lavado de
fachada para las oficinas adscritas a la Zonal Territorios
Nacionales de la Regional Bogotá del Banco Agrario de
Colombia S.A.</t>
  </si>
  <si>
    <t>EOS SAS</t>
  </si>
  <si>
    <t>1063-2023</t>
  </si>
  <si>
    <t>Prestación de servicios de desinfección, fumigación y termo nebulización de archivos en las sedes de Bogotá, direcciones territoriales e inspecciones fluviales del Ministerio de Transporte.</t>
  </si>
  <si>
    <t>835-2024</t>
  </si>
  <si>
    <t>ASEO MODERNO</t>
  </si>
  <si>
    <t>SERVICIO DE FUMIGACIÓN. DESINFECCIÓN Y PLAGAS. BACTERIAS, VIRUS Y HONGOS. CONTROL INTEGRADO DE PLAGAS. DESINSECTACIÓN, DESRATIZACIÓN, CONTROL DE ABEJAS, PALOMAS. VECTORES VOLADORES Y RASTREROS. MECANISMOS PREVENTIVOS Y CORRECTIVOS. CEBADERAS, MALLAS DE PROTECCIÓN DE EDIFICIOS. LIMPIEZA Y FUMIGACIÓN DE ARCHIVOS Y DOCUMENTOS. DESINFECCÓN Y DESINSECTACIÓN. SISTEMA DE NEBULIZACIÓN. TÉCNICAS DE MANEJO DOCUMENTAL. MANTENIMIENTO LIMPIEZA, LAVADO Y DESINFECCIÓN DE TANQUES. PODA Y MANTENIMIENTO CESPED Y JARDIN. FUMIGACIÓN CONTROL DE PLAGAS.</t>
  </si>
  <si>
    <t>La certificación aportada por el proponente incluye el valor total del contrato, más no en valor ejectuado, tal como se solicita en el pliego de condiciones definitivo, en el apartado 3.3.4. EXPERIENCIA DEL PROPONENTE.
Motivo por el cual no cumple, y debera subsanar adjuntando el acta de liquidación.</t>
  </si>
  <si>
    <t>UNIVERSIDAD NACIONAL DE COLOMBIA</t>
  </si>
  <si>
    <t>133-2001</t>
  </si>
  <si>
    <t>PRESTAR EL SERVICIO INTEGRAL ESPECIALIZADO DE CONTROL QUÍMICO DE PLAGAS Y VECTORES, CONTROL FÍSICO DE ANIMALES DOMÉSTICOS, CONTROL DE INSECTOS (COMO ABEJAS) Y OTROS , CONTROL DE AVES, EN LAS ÁREAS DE TODOS LOS PREDIOS DE LA UNIVERSIDAD NACIONAL DE
COLOMBIA SEDE BOGOTÁ, CAMPUS UNIVERSITARIO Y EDIFICIOS EXTERNOS, INCLUYENDO EL CENTRO AGROPECUARIO MARENGO EN EL MUNICIPIO DE MOSQUERA,
MUSEO PALEONTOLÓGICO DE VILLA LEYVA Y LA ESTACIÓN DE BIOLOGÍA TROPICAL ROBERTO FRANCO EN VILLAVICENCIO.</t>
  </si>
  <si>
    <t>INSTITUTO DISTRITAL PARA LA RECREACION Y EL DEPORTE</t>
  </si>
  <si>
    <t>CONTRATAR EL SERVICIO DE FUMIGACIÓN PARA INSECTOS, CONTROL DE ROEDORES, DESINFECCIÓN Y LAVADO DE TANQUES DE ALMACENAMIENTO DE AGUA EN LOS DIFERENTES PARQUES ADMINISTRADOS POR EL IDRD, UBICADOS EN EL SISTEMA DISTRITAL DE PARQUES Y EN LAS SEDES ADMINISTRATIVA Y ARCHIVO DEL IDRD</t>
  </si>
  <si>
    <t>El certificado anexo no corresponde contrato relacionado en el formato de experiencia habilitante del proponente.
Por otra parte, no se encuentra en el RUP el consecutivo no. 34, por lo cual no se puede corroborar el cumplimiento de los codigos de clasificacion UNSPSC.
Motivo por el cual no cumple,y debera subsanar en el termino de traslado de la evaluacion</t>
  </si>
  <si>
    <t>ECOFLORA SAS</t>
  </si>
  <si>
    <t>INSTITUTO GEOGRAFICO AGUSTIN CODAZZI</t>
  </si>
  <si>
    <t>ECOFLORA S.A.S</t>
  </si>
  <si>
    <t>15140 de 2014</t>
  </si>
  <si>
    <t>Prestación de servicios para planificar y ejecutar actividades requeridas para el saneamiento ambiental de sede central, Direcciones Territoriales y Unidades operativas de Catastro, oficinas pertenecientes al Instituto Geográfico Agustin Codazzi</t>
  </si>
  <si>
    <t>El objeto del contrato relacionado, y las actividades y/o obligaciones especificadas en la certificacion adjunta, no evidencian la actividad de desinfección y termonebulizacion, tal como se exige en el  pliego de condiciones, apartado 3.3.4 EXPERIENCIA DEL PROPONENTE, en donde se menciona: 
"Que el objeto y/o alcance y/o las actividades ejecutadas dentro de los contratos certificados en
sumatoria estén relacionados con las siguientes actividades:
•Desinfección
•Fumigación
•Termo nebulización de archivos
Cada contrato aportado deberá acreditar como mínimo alguna de las actividades relacionadas anteriormente."
Dentro de la documentación aportado no se observa que se haya realizado la actividad de termonebulización de archivos, adicionalmente se exige como documento principal la certificación como se evidencia a continuación "Así mismo, en el evento que las certificaciones no contengan la información que permita su evaluación, el proponente deberá adjuntar de manera complementaria copia del contrato o de los documentos soporte expedidos por los contratantes que sean del caso, que permita verificar la información faltante."
La certificación aportada por el proponente incluye el valor total del contrato, más no en valor ejectuado, tal como se solicita en el pliego de condiciones definitivo, en el apartado 3.3.4. EXPERIENCIA DEL PROPONENTE.
Motivo por el cual, el proponente no cumple y debera subsanar durante el termino de traslado del informe de evaluación</t>
  </si>
  <si>
    <t>12835-2013</t>
  </si>
  <si>
    <t>Servicios para planificar y ejecutar actividades requeridas para el saneamiento ambiental de la sede central, y 19 Direcciones territoriales</t>
  </si>
  <si>
    <t>INSTITUTO COLOMBIANO AGROPECUARIO - ICA</t>
  </si>
  <si>
    <t>GGC-226 DE 2015</t>
  </si>
  <si>
    <t>Servicios de fumigación y manejo integrado de plagas en diferentes instalaciones del ICA ubicadas en Bogotá y el departamento de Cundinamarca</t>
  </si>
  <si>
    <t>CRITERIOS DE EVALUACIÓN DE LAS PROPUESTAS</t>
  </si>
  <si>
    <t>LICITACIÓN PÚBLICA No. LP-008-2023</t>
  </si>
  <si>
    <t>OBJETO: Prestación del servicio integral de vigilancia, guarda, custodia y seguridad privada en la modalidad fija y móvil, con y sin arma de fuego con medios de apoyo tecnológicos, para los bienes muebles e inmuebles del ministerio de transporte a nivel nacional y de todos aquellos por los cuales llegase a ser legalmente responsable.</t>
  </si>
  <si>
    <t>Numeral Pliego</t>
  </si>
  <si>
    <t>Factor de Evaluaciòn</t>
  </si>
  <si>
    <t>Requisitos</t>
  </si>
  <si>
    <t>Acredita</t>
  </si>
  <si>
    <t>Cumple / No Cumple</t>
  </si>
  <si>
    <t>Puntaje</t>
  </si>
  <si>
    <t>Observaciones</t>
  </si>
  <si>
    <t>4.2</t>
  </si>
  <si>
    <t>GERENTE DE PROYECTO (14 puntos)</t>
  </si>
  <si>
    <t>Especialización o Maestría en Seguridad o seguridad integral o Administración de la Seguridad o Seguridad y Defensa Nacional o seguridad pública (acta de grado y/o diploma)</t>
  </si>
  <si>
    <t xml:space="preserve">Credencial o Resolución de Consultor vigente expedido por la Superintendencia de Vigilancia y Seguridad Privada. </t>
  </si>
  <si>
    <t>COORDINADOR DE MEDIOS TECNOLOGICOS (10 puntos)</t>
  </si>
  <si>
    <t>Título universitario cuyo NBC se encuentre clasificado en Ingeniería electrónica o, telecomunicaciones y afines o Ingeniería de sistemas, telemática y afines (Diploma o Acta de Grado)</t>
  </si>
  <si>
    <t>Credencial o Resolución de Consultor vigente expedido por la Superintendencia de Vigilancia y Seguridad Privada.</t>
  </si>
  <si>
    <t>Certificado de vigencia de la matricula profesional -Cuando Aplique</t>
  </si>
  <si>
    <t>Experiencia en manejo de medios tecnológicos en empresas de vigilancia y seguridad privada  no menor a tres (3) años</t>
  </si>
  <si>
    <t>Vinculado con el Proponente o integrante durante los últimos 3 meses - Certificaciòn laboral y Planilla de Seguridad Social</t>
  </si>
  <si>
    <t>Hoja de Vida, acompañada de documento de compromiso que realiza el proponente frente al personal que propone, la aceptación por parte del personal propuesto y la aceptación de publicación de sus hojas de vida y soportes en el expediente virtual secop ii.</t>
  </si>
  <si>
    <t>Copia de la cedula de ciudadanía</t>
  </si>
  <si>
    <t xml:space="preserve">COBERTURA DIRECTA DEL RIESGO (7,5 puntos) </t>
  </si>
  <si>
    <t>El proponente además del ofrecimiento de la cobertura deberá hacer la manifestación expresa de reponer o reparar el bien perdido o dañado, por otro de las mismas características, en un término no superior a treinta (30) días calendario, contados a partir del aviso. Vencido dicho plazo el Ministerio está autorizado para descontar los valores de las pérdidas, de las sumas que se paguen mensualmente al contratista.</t>
  </si>
  <si>
    <t>SUCURSALES O AGENCIAS ADICIONALES (9 puntos)</t>
  </si>
  <si>
    <t>Sucursales o Agencias Adicionales en ciudades donde se prestara el servicio de vigilancia humana</t>
  </si>
  <si>
    <t>4.3</t>
  </si>
  <si>
    <t>APOYO A LA INDUSTRIA NACIONAL (10 PUNTOS)</t>
  </si>
  <si>
    <t>• Promoción en procesos cuyo objeto solo incluye servicios nacionales, y 
• Vincular el porcentaje mínimo establecido por el Ministerio de transporte que para el presente proceso equivaldrá al 40% del total de los empleados y contratistas por prestación de servicios colombianos asociados al cumplimiento del contrato.</t>
  </si>
  <si>
    <t>4.4</t>
  </si>
  <si>
    <t>TRABAJADORES EN CONDICION DE DISCAPACIDAD (1 PUNTO)</t>
  </si>
  <si>
    <t>• Certificaciòn del número total de trabajadores 
vinculados a la planta de personal del proponente o sus integrantes a la fecha de cierre del proceso de selección.
• Certificado expedido por el Ministerio del Trabajo, el cual deberá́ estar vigente a la fecha de cierre del proceso de selección</t>
  </si>
  <si>
    <t>4.5</t>
  </si>
  <si>
    <t>EMPRENDIMIENTOS Y EMPRESA DE MUJERES (0,25 PUNTOS) E INCENTIVOS MIPYME (0,25 PUNTOS)</t>
  </si>
  <si>
    <t>INCENTIVO PARA EMPRENDIMIENTO Y EMPRESAS DE MUJERES</t>
  </si>
  <si>
    <t>INCENTIVO MIPYMES</t>
  </si>
  <si>
    <t>4.6</t>
  </si>
  <si>
    <t>PUNTAJE ADICIONAL Decreto 1279 (3 Puntos)</t>
  </si>
  <si>
    <t>(0,5%) se le otorgará al proponente o los proponentes que acrediten el mayor porcentaje de mujeres vinculadas dentro de su personal operativo</t>
  </si>
  <si>
    <t>(0,5%) se le otorgará al proponente o los proponentes que acrediten el mayor número de mujeres vinculadas dentro de su personal operativo</t>
  </si>
  <si>
    <t>El cero punto cinco por ciento (0,5%) se le otorgará al proponente o los proponentes que acrediten el mayor porcentaje de personas mayores de 45 años vinculadas dentro de su personal operativo</t>
  </si>
  <si>
    <t>(0,5%) se le otorgará al proponente o los proponentes que acrediten mayor número de personas mayores de 45 años vinculadas dentro de su personal operativo</t>
  </si>
  <si>
    <t>El cero punto cinco por ciento (0,5%) se le otorgará al proponente o los proponentes que acrediten el mayor porcentaje de personas con discapacidad vinculadas dentro de su personal operativo</t>
  </si>
  <si>
    <t>El cero punto cinco por ciento (0,5%) se le otorgará al proponente o los proponentes que acrediten mayor número de personas con discapacidad vinculadas dentro de su personal operativo</t>
  </si>
  <si>
    <t>TOTAL PUNTAJE SIN OFERTA ECONOMICA</t>
  </si>
  <si>
    <t>PUNTAJE TOTAL DE LA OFERTA ECONOMICA</t>
  </si>
  <si>
    <t>TOTAL PUNTAJE PROPONENTE</t>
  </si>
  <si>
    <t>DESCUENTO DE PUNTAJE</t>
  </si>
  <si>
    <t>TOTAL PUNTAJE FINAL DEL PROPONENTE</t>
  </si>
  <si>
    <t>Salario mínimo legal en Colombia</t>
  </si>
  <si>
    <t>1.1.1. Serie histórica en pesos colombianos_periodicidad anual</t>
  </si>
  <si>
    <t/>
  </si>
  <si>
    <t>Información disponible desde el 1 de julio de 1984.</t>
  </si>
  <si>
    <t>Año</t>
  </si>
  <si>
    <t>Salario mínimo diario</t>
  </si>
  <si>
    <t>Salario mínimo mensual</t>
  </si>
  <si>
    <r>
      <rPr>
        <b/>
        <sz val="9"/>
        <color indexed="8"/>
        <rFont val="Helvetica"/>
        <family val="2"/>
      </rPr>
      <t xml:space="preserve">Fuente: </t>
    </r>
    <r>
      <rPr>
        <sz val="9"/>
        <color indexed="8"/>
        <rFont val="Helvetica"/>
        <family val="2"/>
      </rPr>
      <t>Ministerio del Trabajo (</t>
    </r>
    <r>
      <rPr>
        <u/>
        <sz val="9"/>
        <color indexed="12"/>
        <rFont val="Helvetica"/>
        <family val="2"/>
      </rPr>
      <t>www.mintrabajo.gov.co</t>
    </r>
    <r>
      <rPr>
        <sz val="9"/>
        <color indexed="8"/>
        <rFont val="Helvetica"/>
        <family val="2"/>
      </rPr>
      <t>) y decretos del Gobierno Nacional (</t>
    </r>
    <r>
      <rPr>
        <u/>
        <sz val="9"/>
        <color indexed="12"/>
        <rFont val="Helvetica"/>
        <family val="2"/>
      </rPr>
      <t>www.presidencia.gov.co</t>
    </r>
    <r>
      <rPr>
        <sz val="9"/>
        <color indexed="8"/>
        <rFont val="Helvetica"/>
        <family val="2"/>
      </rPr>
      <t>).</t>
    </r>
  </si>
  <si>
    <r>
      <rPr>
        <sz val="9"/>
        <color indexed="8"/>
        <rFont val="Helvetica"/>
        <family val="2"/>
      </rPr>
      <t xml:space="preserve"> </t>
    </r>
    <r>
      <rPr>
        <b/>
        <sz val="9"/>
        <color indexed="8"/>
        <rFont val="Helvetica"/>
        <family val="2"/>
      </rPr>
      <t xml:space="preserve">Nota: </t>
    </r>
    <r>
      <rPr>
        <sz val="9"/>
        <color indexed="8"/>
        <rFont val="Helvetica"/>
        <family val="2"/>
      </rPr>
      <t xml:space="preserve"> desde el 1 de julio de 1984 se unificó el salario mínimo para todos los sectores de la economía.</t>
    </r>
  </si>
  <si>
    <t>LICITACIÓN PÚBLICA No. LP-003-2024</t>
  </si>
  <si>
    <t>OBJETO: SUMINISTRO E INSTALACIÓN DE ESTANTERÍA PESADA PARA ARCHIVOS DEL MINISTERIO DE TRANSPORTE A NIVEL NACIONAL.</t>
  </si>
  <si>
    <t>Fecha del Cierre del Proceso</t>
  </si>
  <si>
    <t>ARCHIVOS Y CARPETAS DE COLOMBIA SAS</t>
  </si>
  <si>
    <t>% de Participación</t>
  </si>
  <si>
    <t>Experiencia Aportada</t>
  </si>
  <si>
    <t>Integrantes</t>
  </si>
  <si>
    <t>Mayor Experiencia del integrante  con participación minima del 50%</t>
  </si>
  <si>
    <t>APORTA DOCUMENTO</t>
  </si>
  <si>
    <t>DILIGENCIAMIENTO REQUISITOS TECNICOS MINIMOS REQUERIDOS (ANEXO NO. 1)</t>
  </si>
  <si>
    <t>46171600</t>
  </si>
  <si>
    <t>92121500</t>
  </si>
  <si>
    <t>92121700</t>
  </si>
  <si>
    <t>Seguridad privada en la modalidad fija y móvil, con y sin arma de fuego, con medios de apoyo tecnológicos</t>
  </si>
  <si>
    <t>1 Contrato con Prestación de los servicios en mínimo 8 departamentos</t>
  </si>
  <si>
    <t>APORTA FORMATO DE RELACIÓN DE EXPERIENCIA</t>
  </si>
  <si>
    <t>X</t>
  </si>
  <si>
    <t>UNIDAD ADMINISTRATIVA AERONAUTICA CIVIL REGIONAL META</t>
  </si>
  <si>
    <t>21000502 H3 DE 2021</t>
  </si>
  <si>
    <t>RMTC0985 Realizar las actividades de desinfección necesarias para mitigar y controlar el riesgo sanitario en los aeropuertos de la Regional Meta</t>
  </si>
  <si>
    <r>
      <t>El proponente no cumple con lo establecido en el pliego de condiciones, apartado 3.3.4 EXPERIENCIA DEL PROPONENTE, en donde se menciona: 
"Que el objeto y/o alcance y/o las actividades ejecutadas dentro de los contratos certificados</t>
    </r>
    <r>
      <rPr>
        <b/>
        <u/>
        <sz val="11"/>
        <color rgb="FFFF0000"/>
        <rFont val="Calibri"/>
        <family val="2"/>
        <scheme val="minor"/>
      </rPr>
      <t xml:space="preserve"> en sumatoria </t>
    </r>
    <r>
      <rPr>
        <sz val="11"/>
        <color rgb="FFFF0000"/>
        <rFont val="Calibri"/>
        <family val="2"/>
        <scheme val="minor"/>
      </rPr>
      <t>estén relacionados con las siguientes actividades:
•Desinfección    •Fumigación    •Termo nebulización de archivos
Cada contrato aportado deberá acreditar como mínimo alguna de las actividades relacionadas anteriormente."
Dentro de la documentación aportado no se observa que se haya realizado la actividad de termonebulización de archivos.
Motivo por el cual, el proponente no cumple y debera subsanar durante el termino de traslado del informe de evaluación</t>
    </r>
  </si>
  <si>
    <t>CAJA DE COMPENSACION FAMILIAR DEL HUILA</t>
  </si>
  <si>
    <t>23000022-OM-00001 DE 2023</t>
  </si>
  <si>
    <t>PRESTACION DEL SERVICIO INTEGRAL DE FUMIGACION, CONTROL DE PLAGAS Y ROEDORES EN LAS DIFERENTES SEDES DE COMFAMILIAR HUILA</t>
  </si>
  <si>
    <r>
      <rPr>
        <sz val="11"/>
        <color rgb="FFFF0000"/>
        <rFont val="Calibri"/>
        <family val="2"/>
        <scheme val="minor"/>
      </rPr>
      <t>El proponente no cumple con lo establecido en el pliego de condiciones, apartado 3.3.4 EXPERIENCIA DEL PROPONENTE, en donde se menciona: 
"Que el objeto y/o alcance y/o las actividades ejecutadas dentro de los contratos certificados</t>
    </r>
    <r>
      <rPr>
        <b/>
        <u/>
        <sz val="11"/>
        <color rgb="FFFF0000"/>
        <rFont val="Calibri"/>
        <family val="2"/>
        <scheme val="minor"/>
      </rPr>
      <t xml:space="preserve"> en sumatoria </t>
    </r>
    <r>
      <rPr>
        <sz val="11"/>
        <color rgb="FFFF0000"/>
        <rFont val="Calibri"/>
        <family val="2"/>
        <scheme val="minor"/>
      </rPr>
      <t>estén relacionados con las siguientes actividades:
•Desinfección    •Fumigación    •Termo nebulización de archivos
Cada contrato aportado deberá acreditar como mínimo alguna de las actividades relacionadas anteriormente."
Dentro de la documentación aportado no se observa que se haya realizado la actividad de termonebulización de archivos.
La certificación aportada por el proponente incluye el valor total del contrato, más no en valor ejectuado, tal como se solicita en el pliego de condiciones definitivo, en el apartado 3.3.4. EXPERIENCIA DEL PROPONENTE.
Motivo por el cual, el proponente no cumple y debera subsanar durante el termino de traslado del informe de evaluación</t>
    </r>
  </si>
  <si>
    <t>INSTITUTO DE HIDROLOGIA, METEOROLOGIA Y ESTUDIOS AMBIENTALES - IDEAM</t>
  </si>
  <si>
    <t>335 DE 2025</t>
  </si>
  <si>
    <t>(SG-248) PRESTAR EL SERVICIO DE DESINFECCIÓN, FUMIGACIÓN Y CONTROL DE PLAGAS</t>
  </si>
  <si>
    <t>Numero</t>
  </si>
  <si>
    <t>Coordinadora Grupo Administracion Bienes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</si>
</sst>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6" formatCode="&quot;$&quot;\ #,##0;[Red]\-&quot;$&quot;\ #,##0"/>
    <numFmt numFmtId="8" formatCode="&quot;$&quot;\ #,##0.00;[Red]\-&quot;$&quot;\ #,##0.00"/>
    <numFmt numFmtId="44" formatCode="_-&quot;$&quot;\ * #,##0.00_-;\-&quot;$&quot;\ * #,##0.00_-;_-&quot;$&quot;\ * &quot;-&quot;??_-;_-@_-"/>
    <numFmt numFmtId="43" formatCode="_-* #,##0.00_-;\-* #,##0.00_-;_-* &quot;-&quot;??_-;_-@_-"/>
    <numFmt numFmtId="164" formatCode="[$$]\ #,##0.00;\-[$$]\ #,##0.00"/>
    <numFmt numFmtId="165" formatCode="#,##0.00\ &quot;SMMLV&quot;"/>
    <numFmt numFmtId="166" formatCode="_(* #,##0.00_);_(* \(#,##0.00\);_(* &quot;-&quot;??_);_(@_)"/>
    <numFmt numFmtId="167" formatCode="[$$]#,##0.00;\-[$$]#,##0.00" x16r2:formatCode16="[$$-sn-Latn-ZW]#,##0.00;\-[$$-sn-Latn-ZW]#,##0.00"/>
  </numFmts>
  <fonts count="28" x14ac:knownFonts="1">
    <font>
      <sz val="11"/>
      <color theme="1"/>
      <name val="Calibri"/>
      <family val="2"/>
      <scheme val="minor"/>
    </font>
    <font>
      <sz val="11"/>
      <color theme="1"/>
      <name val="Calibri"/>
      <family val="2"/>
      <scheme val="minor"/>
    </font>
    <font>
      <b/>
      <sz val="11"/>
      <color rgb="FF333399"/>
      <name val="Calibri"/>
      <family val="2"/>
    </font>
    <font>
      <sz val="11"/>
      <color rgb="FF333399"/>
      <name val="Calibri"/>
      <family val="2"/>
    </font>
    <font>
      <sz val="9"/>
      <color theme="1"/>
      <name val="Helvetica"/>
      <family val="2"/>
    </font>
    <font>
      <b/>
      <sz val="11"/>
      <color theme="1"/>
      <name val="Calibri"/>
      <family val="2"/>
    </font>
    <font>
      <b/>
      <sz val="9"/>
      <color indexed="8"/>
      <name val="Helvetica"/>
      <family val="2"/>
    </font>
    <font>
      <sz val="9"/>
      <color indexed="8"/>
      <name val="Helvetica"/>
      <family val="2"/>
    </font>
    <font>
      <u/>
      <sz val="9"/>
      <color indexed="12"/>
      <name val="Helvetica"/>
      <family val="2"/>
    </font>
    <font>
      <sz val="11"/>
      <color theme="1"/>
      <name val="Arial"/>
      <family val="2"/>
    </font>
    <font>
      <b/>
      <sz val="11"/>
      <color theme="0"/>
      <name val="Calibri"/>
      <family val="2"/>
      <scheme val="minor"/>
    </font>
    <font>
      <b/>
      <sz val="11"/>
      <color theme="1"/>
      <name val="Calibri"/>
      <family val="2"/>
      <scheme val="minor"/>
    </font>
    <font>
      <b/>
      <sz val="11"/>
      <color theme="1"/>
      <name val="Arial Narrow"/>
      <family val="2"/>
    </font>
    <font>
      <sz val="11"/>
      <name val="Calibri"/>
      <family val="2"/>
      <scheme val="minor"/>
    </font>
    <font>
      <b/>
      <sz val="11"/>
      <name val="Calibri"/>
      <family val="2"/>
      <scheme val="minor"/>
    </font>
    <font>
      <sz val="11"/>
      <color theme="1"/>
      <name val="Arial Narrow"/>
      <family val="2"/>
    </font>
    <font>
      <sz val="11"/>
      <color rgb="FFFF0000"/>
      <name val="Calibri"/>
      <family val="2"/>
      <scheme val="minor"/>
    </font>
    <font>
      <b/>
      <sz val="11"/>
      <color rgb="FFFF0000"/>
      <name val="Calibri"/>
      <family val="2"/>
      <scheme val="minor"/>
    </font>
    <font>
      <b/>
      <sz val="10"/>
      <color theme="1"/>
      <name val="Arial Narrow"/>
      <family val="2"/>
    </font>
    <font>
      <sz val="8"/>
      <name val="Calibri"/>
      <family val="2"/>
      <scheme val="minor"/>
    </font>
    <font>
      <sz val="10"/>
      <name val="Arial Narrow"/>
      <family val="2"/>
    </font>
    <font>
      <sz val="11"/>
      <color theme="0"/>
      <name val="Calibri"/>
      <family val="2"/>
      <scheme val="minor"/>
    </font>
    <font>
      <sz val="9"/>
      <name val="Verdana"/>
      <family val="2"/>
    </font>
    <font>
      <b/>
      <sz val="9"/>
      <name val="Verdana"/>
      <family val="2"/>
    </font>
    <font>
      <b/>
      <sz val="14"/>
      <name val="Verdana"/>
      <family val="2"/>
    </font>
    <font>
      <b/>
      <u/>
      <sz val="11"/>
      <color rgb="FFFF0000"/>
      <name val="Calibri"/>
      <family val="2"/>
      <scheme val="minor"/>
    </font>
    <font>
      <sz val="11"/>
      <color rgb="FFFF0000"/>
      <name val="Calibri"/>
      <family val="2"/>
      <scheme val="minor"/>
    </font>
    <font>
      <sz val="14"/>
      <color theme="1"/>
      <name val="Calibri"/>
      <family val="2"/>
      <scheme val="minor"/>
    </font>
  </fonts>
  <fills count="13">
    <fill>
      <patternFill patternType="none"/>
    </fill>
    <fill>
      <patternFill patternType="gray125"/>
    </fill>
    <fill>
      <patternFill patternType="solid">
        <fgColor rgb="FFFFFFFF"/>
      </patternFill>
    </fill>
    <fill>
      <patternFill patternType="solid">
        <fgColor rgb="FFCFE0F1"/>
      </patternFill>
    </fill>
    <fill>
      <patternFill patternType="solid">
        <fgColor rgb="FFF2F5F9"/>
      </patternFill>
    </fill>
    <fill>
      <patternFill patternType="solid">
        <fgColor rgb="FFCFE0F1"/>
        <bgColor indexed="64"/>
      </patternFill>
    </fill>
    <fill>
      <patternFill patternType="solid">
        <fgColor rgb="FFFFFFFF"/>
        <bgColor indexed="64"/>
      </patternFill>
    </fill>
    <fill>
      <patternFill patternType="solid">
        <fgColor rgb="FF867EEC"/>
        <bgColor indexed="64"/>
      </patternFill>
    </fill>
    <fill>
      <patternFill patternType="solid">
        <fgColor theme="0"/>
        <bgColor indexed="64"/>
      </patternFill>
    </fill>
    <fill>
      <patternFill patternType="solid">
        <fgColor theme="9" tint="0.59999389629810485"/>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4.9989318521683403E-2"/>
        <bgColor rgb="FF000000"/>
      </patternFill>
    </fill>
  </fills>
  <borders count="47">
    <border>
      <left/>
      <right/>
      <top/>
      <bottom/>
      <diagonal/>
    </border>
    <border>
      <left/>
      <right/>
      <top/>
      <bottom style="thick">
        <color rgb="FFA3BED8"/>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rgb="FF000000"/>
      </right>
      <top style="thin">
        <color rgb="FF000000"/>
      </top>
      <bottom style="thin">
        <color rgb="FF000000"/>
      </bottom>
      <diagonal/>
    </border>
  </borders>
  <cellStyleXfs count="6">
    <xf numFmtId="0" fontId="0" fillId="0" borderId="0"/>
    <xf numFmtId="0" fontId="9" fillId="0" borderId="0"/>
    <xf numFmtId="43"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44" fontId="1" fillId="0" borderId="0" applyFont="0" applyFill="0" applyBorder="0" applyAlignment="0" applyProtection="0"/>
  </cellStyleXfs>
  <cellXfs count="224">
    <xf numFmtId="0" fontId="0" fillId="0" borderId="0" xfId="0"/>
    <xf numFmtId="0" fontId="0" fillId="0" borderId="0" xfId="0" applyAlignment="1">
      <alignment horizontal="center" vertical="top" wrapText="1"/>
    </xf>
    <xf numFmtId="0" fontId="4" fillId="0" borderId="0" xfId="0" applyFont="1" applyAlignment="1">
      <alignment horizontal="left" wrapText="1"/>
    </xf>
    <xf numFmtId="0" fontId="0" fillId="0" borderId="0" xfId="0" applyAlignment="1">
      <alignment horizontal="left" vertical="top" wrapText="1"/>
    </xf>
    <xf numFmtId="0" fontId="0" fillId="0" borderId="0" xfId="0" applyAlignment="1">
      <alignment vertical="center"/>
    </xf>
    <xf numFmtId="0" fontId="10" fillId="7" borderId="2" xfId="0" applyFont="1" applyFill="1" applyBorder="1" applyAlignment="1">
      <alignment horizontal="center" vertical="center" wrapText="1"/>
    </xf>
    <xf numFmtId="0" fontId="0" fillId="0" borderId="0" xfId="0" applyAlignment="1">
      <alignment vertical="center" wrapText="1"/>
    </xf>
    <xf numFmtId="0" fontId="11" fillId="9" borderId="2" xfId="0" applyFont="1" applyFill="1" applyBorder="1" applyAlignment="1">
      <alignment horizontal="center" vertical="center" wrapText="1"/>
    </xf>
    <xf numFmtId="0" fontId="0" fillId="8" borderId="0" xfId="0" applyFill="1" applyAlignment="1">
      <alignment vertical="center"/>
    </xf>
    <xf numFmtId="0" fontId="13" fillId="8" borderId="0" xfId="0" applyFont="1" applyFill="1" applyAlignment="1">
      <alignment vertical="center"/>
    </xf>
    <xf numFmtId="0" fontId="13" fillId="8" borderId="6" xfId="0" applyFont="1" applyFill="1" applyBorder="1" applyAlignment="1">
      <alignment horizontal="center" vertical="center" wrapText="1"/>
    </xf>
    <xf numFmtId="0" fontId="13" fillId="8" borderId="4" xfId="0" applyFont="1" applyFill="1" applyBorder="1" applyAlignment="1">
      <alignment horizontal="center" vertical="center" wrapText="1"/>
    </xf>
    <xf numFmtId="0" fontId="0" fillId="0" borderId="7"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justify" vertical="center" wrapText="1"/>
    </xf>
    <xf numFmtId="0" fontId="0" fillId="8" borderId="2" xfId="0" applyFill="1" applyBorder="1" applyAlignment="1">
      <alignment horizontal="center" vertical="center"/>
    </xf>
    <xf numFmtId="9" fontId="0" fillId="0" borderId="2" xfId="0" applyNumberFormat="1" applyBorder="1" applyAlignment="1">
      <alignment horizontal="center" vertical="center"/>
    </xf>
    <xf numFmtId="0" fontId="0" fillId="0" borderId="2" xfId="0" applyBorder="1" applyAlignment="1">
      <alignment horizontal="center" vertical="center"/>
    </xf>
    <xf numFmtId="4" fontId="0" fillId="8" borderId="2" xfId="0" applyNumberFormat="1" applyFill="1" applyBorder="1" applyAlignment="1">
      <alignment horizontal="center" vertical="center"/>
    </xf>
    <xf numFmtId="15" fontId="0" fillId="0" borderId="2" xfId="0" applyNumberFormat="1" applyBorder="1" applyAlignment="1">
      <alignment horizontal="center" vertical="center"/>
    </xf>
    <xf numFmtId="8" fontId="0" fillId="0" borderId="2" xfId="0" applyNumberFormat="1" applyBorder="1" applyAlignment="1">
      <alignment vertical="center"/>
    </xf>
    <xf numFmtId="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8" xfId="0" applyBorder="1" applyAlignment="1">
      <alignment horizontal="center" vertical="center"/>
    </xf>
    <xf numFmtId="0" fontId="0" fillId="0" borderId="5" xfId="0" applyBorder="1" applyAlignment="1">
      <alignment horizontal="center" vertical="center" wrapText="1"/>
    </xf>
    <xf numFmtId="0" fontId="0" fillId="0" borderId="5" xfId="0" applyBorder="1" applyAlignment="1">
      <alignment horizontal="center" vertical="center"/>
    </xf>
    <xf numFmtId="0" fontId="0" fillId="0" borderId="5" xfId="0" applyBorder="1" applyAlignment="1">
      <alignment horizontal="justify" vertical="center" wrapText="1"/>
    </xf>
    <xf numFmtId="9" fontId="0" fillId="0" borderId="5" xfId="0" applyNumberFormat="1" applyBorder="1" applyAlignment="1">
      <alignment horizontal="center" vertical="center"/>
    </xf>
    <xf numFmtId="4" fontId="0" fillId="0" borderId="5" xfId="0" applyNumberFormat="1" applyBorder="1" applyAlignment="1">
      <alignment horizontal="center" vertical="center"/>
    </xf>
    <xf numFmtId="15" fontId="0" fillId="0" borderId="5" xfId="0" applyNumberFormat="1" applyBorder="1" applyAlignment="1">
      <alignment horizontal="center" vertical="center"/>
    </xf>
    <xf numFmtId="8" fontId="0" fillId="0" borderId="5" xfId="0" applyNumberFormat="1" applyBorder="1" applyAlignment="1">
      <alignment vertical="center"/>
    </xf>
    <xf numFmtId="0" fontId="0" fillId="0" borderId="5" xfId="0" applyBorder="1" applyAlignment="1">
      <alignment horizontal="left" vertical="center" wrapText="1"/>
    </xf>
    <xf numFmtId="0" fontId="11" fillId="9" borderId="2" xfId="0" applyFont="1" applyFill="1" applyBorder="1" applyAlignment="1">
      <alignment horizontal="center" vertical="center"/>
    </xf>
    <xf numFmtId="165" fontId="11" fillId="8" borderId="0" xfId="0" applyNumberFormat="1" applyFont="1" applyFill="1" applyAlignment="1">
      <alignment vertical="center"/>
    </xf>
    <xf numFmtId="9" fontId="11" fillId="9" borderId="2" xfId="3" applyFont="1" applyFill="1" applyBorder="1" applyAlignment="1">
      <alignment horizontal="center" vertical="center"/>
    </xf>
    <xf numFmtId="43" fontId="11" fillId="8" borderId="2" xfId="2" applyFont="1" applyFill="1" applyBorder="1" applyAlignment="1">
      <alignment vertical="center"/>
    </xf>
    <xf numFmtId="165" fontId="11" fillId="0" borderId="4" xfId="0" applyNumberFormat="1" applyFont="1" applyBorder="1" applyAlignment="1">
      <alignment vertical="center"/>
    </xf>
    <xf numFmtId="4" fontId="0" fillId="8" borderId="5" xfId="0" applyNumberFormat="1" applyFill="1" applyBorder="1" applyAlignment="1">
      <alignment horizontal="center" vertical="center"/>
    </xf>
    <xf numFmtId="0" fontId="11" fillId="0" borderId="0" xfId="0" applyFont="1" applyAlignment="1">
      <alignment horizontal="left" vertical="center" wrapText="1"/>
    </xf>
    <xf numFmtId="0" fontId="11" fillId="0" borderId="0" xfId="0" applyFont="1" applyAlignment="1">
      <alignment horizontal="center" vertical="center"/>
    </xf>
    <xf numFmtId="0" fontId="0" fillId="8" borderId="0" xfId="0" applyFill="1"/>
    <xf numFmtId="0" fontId="0" fillId="0" borderId="2" xfId="0" applyBorder="1" applyAlignment="1">
      <alignment wrapText="1"/>
    </xf>
    <xf numFmtId="0" fontId="11" fillId="8" borderId="0" xfId="0" applyFont="1" applyFill="1" applyAlignment="1">
      <alignment horizontal="left" vertical="center" wrapText="1"/>
    </xf>
    <xf numFmtId="0" fontId="0" fillId="8" borderId="2" xfId="0" applyFill="1" applyBorder="1"/>
    <xf numFmtId="0" fontId="0" fillId="8" borderId="11" xfId="0" applyFill="1" applyBorder="1"/>
    <xf numFmtId="0" fontId="0" fillId="8" borderId="12" xfId="0" applyFill="1" applyBorder="1"/>
    <xf numFmtId="0" fontId="0" fillId="8" borderId="14" xfId="0" applyFill="1" applyBorder="1"/>
    <xf numFmtId="0" fontId="0" fillId="8" borderId="16" xfId="0" applyFill="1" applyBorder="1"/>
    <xf numFmtId="0" fontId="0" fillId="8" borderId="17" xfId="0" applyFill="1" applyBorder="1"/>
    <xf numFmtId="0" fontId="0" fillId="8" borderId="5" xfId="0" applyFill="1" applyBorder="1"/>
    <xf numFmtId="0" fontId="0" fillId="8" borderId="20" xfId="0" applyFill="1" applyBorder="1"/>
    <xf numFmtId="0" fontId="15" fillId="0" borderId="11" xfId="0" applyFont="1" applyBorder="1" applyAlignment="1">
      <alignment horizontal="center" vertical="center" wrapText="1"/>
    </xf>
    <xf numFmtId="0" fontId="0" fillId="0" borderId="26" xfId="0" applyBorder="1" applyAlignment="1">
      <alignment wrapText="1"/>
    </xf>
    <xf numFmtId="0" fontId="0" fillId="8" borderId="27" xfId="0" applyFill="1" applyBorder="1"/>
    <xf numFmtId="0" fontId="0" fillId="8" borderId="28" xfId="0" applyFill="1" applyBorder="1"/>
    <xf numFmtId="0" fontId="0" fillId="0" borderId="29" xfId="0" applyBorder="1" applyAlignment="1">
      <alignment wrapText="1"/>
    </xf>
    <xf numFmtId="0" fontId="0" fillId="8" borderId="19" xfId="0" applyFill="1" applyBorder="1"/>
    <xf numFmtId="0" fontId="0" fillId="8" borderId="31" xfId="0" applyFill="1" applyBorder="1"/>
    <xf numFmtId="0" fontId="0" fillId="8" borderId="0" xfId="0" applyFill="1" applyAlignment="1">
      <alignment horizontal="left"/>
    </xf>
    <xf numFmtId="0" fontId="0" fillId="0" borderId="11" xfId="0" applyBorder="1" applyAlignment="1">
      <alignment horizontal="left" vertical="center"/>
    </xf>
    <xf numFmtId="0" fontId="0" fillId="0" borderId="5" xfId="0" applyBorder="1" applyAlignment="1">
      <alignment horizontal="left" vertical="center"/>
    </xf>
    <xf numFmtId="0" fontId="0" fillId="0" borderId="11" xfId="0" applyBorder="1" applyAlignment="1">
      <alignment wrapText="1"/>
    </xf>
    <xf numFmtId="0" fontId="11" fillId="8" borderId="30" xfId="0" applyFont="1" applyFill="1" applyBorder="1" applyAlignment="1">
      <alignment horizontal="center" vertical="center"/>
    </xf>
    <xf numFmtId="0" fontId="11" fillId="8" borderId="24" xfId="0" applyFont="1" applyFill="1" applyBorder="1" applyAlignment="1">
      <alignment horizontal="center" vertical="center"/>
    </xf>
    <xf numFmtId="0" fontId="0" fillId="0" borderId="5" xfId="0" applyBorder="1" applyAlignment="1">
      <alignment wrapText="1"/>
    </xf>
    <xf numFmtId="0" fontId="11" fillId="8" borderId="12" xfId="0" applyFont="1" applyFill="1" applyBorder="1" applyAlignment="1">
      <alignment horizontal="center" vertical="center"/>
    </xf>
    <xf numFmtId="0" fontId="11" fillId="8" borderId="17" xfId="0" applyFont="1" applyFill="1" applyBorder="1" applyAlignment="1">
      <alignment horizontal="center"/>
    </xf>
    <xf numFmtId="0" fontId="0" fillId="8" borderId="21" xfId="0" applyFill="1" applyBorder="1"/>
    <xf numFmtId="0" fontId="11" fillId="8" borderId="21" xfId="0" applyFont="1" applyFill="1" applyBorder="1" applyAlignment="1">
      <alignment horizontal="center"/>
    </xf>
    <xf numFmtId="0" fontId="0" fillId="8" borderId="11" xfId="0" applyFill="1" applyBorder="1" applyAlignment="1">
      <alignment horizontal="center" vertical="center"/>
    </xf>
    <xf numFmtId="0" fontId="0" fillId="8" borderId="27" xfId="0" applyFill="1" applyBorder="1" applyAlignment="1">
      <alignment horizontal="center" vertical="center"/>
    </xf>
    <xf numFmtId="0" fontId="0" fillId="8" borderId="19" xfId="0" applyFill="1" applyBorder="1" applyAlignment="1">
      <alignment horizontal="center" vertical="center"/>
    </xf>
    <xf numFmtId="0" fontId="0" fillId="8" borderId="5" xfId="0" applyFill="1" applyBorder="1" applyAlignment="1">
      <alignment horizontal="center" vertical="center"/>
    </xf>
    <xf numFmtId="0" fontId="0" fillId="8" borderId="14" xfId="0" applyFill="1" applyBorder="1" applyAlignment="1">
      <alignment horizontal="center"/>
    </xf>
    <xf numFmtId="4" fontId="0" fillId="0" borderId="2" xfId="0" applyNumberFormat="1" applyBorder="1" applyAlignment="1">
      <alignment vertical="center"/>
    </xf>
    <xf numFmtId="4" fontId="0" fillId="0" borderId="4" xfId="0" applyNumberFormat="1" applyBorder="1" applyAlignment="1">
      <alignment vertical="center"/>
    </xf>
    <xf numFmtId="4" fontId="0" fillId="0" borderId="5" xfId="0" applyNumberFormat="1" applyBorder="1" applyAlignment="1">
      <alignment vertical="center"/>
    </xf>
    <xf numFmtId="0" fontId="0" fillId="0" borderId="2" xfId="2" applyNumberFormat="1" applyFont="1" applyBorder="1" applyAlignment="1">
      <alignment horizontal="center" vertical="center"/>
    </xf>
    <xf numFmtId="43" fontId="0" fillId="0" borderId="0" xfId="2" applyFont="1" applyAlignment="1">
      <alignment vertical="center"/>
    </xf>
    <xf numFmtId="43" fontId="11" fillId="9" borderId="2" xfId="0" applyNumberFormat="1" applyFont="1" applyFill="1" applyBorder="1" applyAlignment="1">
      <alignment vertical="center"/>
    </xf>
    <xf numFmtId="0" fontId="11" fillId="0" borderId="2" xfId="0" applyFont="1" applyBorder="1" applyAlignment="1">
      <alignment horizontal="center" vertical="center"/>
    </xf>
    <xf numFmtId="165" fontId="11" fillId="0" borderId="0" xfId="0" applyNumberFormat="1" applyFont="1" applyAlignment="1">
      <alignment vertical="center"/>
    </xf>
    <xf numFmtId="165" fontId="11" fillId="0" borderId="2" xfId="0" applyNumberFormat="1" applyFont="1" applyBorder="1" applyAlignment="1">
      <alignment horizontal="center" vertical="center"/>
    </xf>
    <xf numFmtId="15" fontId="11" fillId="0" borderId="2" xfId="0" applyNumberFormat="1" applyFont="1" applyBorder="1" applyAlignment="1">
      <alignment horizontal="center" vertical="center"/>
    </xf>
    <xf numFmtId="0" fontId="0" fillId="8" borderId="4" xfId="0" applyFill="1" applyBorder="1"/>
    <xf numFmtId="0" fontId="0" fillId="8" borderId="36" xfId="0" applyFill="1" applyBorder="1"/>
    <xf numFmtId="0" fontId="14" fillId="8" borderId="3" xfId="0" applyFont="1" applyFill="1" applyBorder="1" applyAlignment="1">
      <alignment horizontal="center" vertical="center" wrapText="1"/>
    </xf>
    <xf numFmtId="0" fontId="0" fillId="8" borderId="32" xfId="0" applyFill="1" applyBorder="1"/>
    <xf numFmtId="0" fontId="0" fillId="8" borderId="38" xfId="0" applyFill="1" applyBorder="1"/>
    <xf numFmtId="0" fontId="13" fillId="8" borderId="33" xfId="0" applyFont="1" applyFill="1" applyBorder="1" applyAlignment="1">
      <alignment horizontal="left" vertical="center" wrapText="1"/>
    </xf>
    <xf numFmtId="0" fontId="13" fillId="8" borderId="37" xfId="0" applyFont="1" applyFill="1" applyBorder="1" applyAlignment="1">
      <alignment horizontal="left" vertical="center" wrapText="1"/>
    </xf>
    <xf numFmtId="0" fontId="14" fillId="8" borderId="29"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40" xfId="0" applyFont="1" applyFill="1" applyBorder="1" applyAlignment="1">
      <alignment horizontal="center" vertical="center" wrapText="1"/>
    </xf>
    <xf numFmtId="0" fontId="0" fillId="8" borderId="6" xfId="0" applyFill="1" applyBorder="1"/>
    <xf numFmtId="0" fontId="0" fillId="8" borderId="7" xfId="0" applyFill="1" applyBorder="1"/>
    <xf numFmtId="0" fontId="13" fillId="8" borderId="43" xfId="0" applyFont="1" applyFill="1" applyBorder="1" applyAlignment="1">
      <alignment horizontal="left" vertical="center" wrapText="1"/>
    </xf>
    <xf numFmtId="0" fontId="13" fillId="8" borderId="35" xfId="0" applyFont="1" applyFill="1" applyBorder="1" applyAlignment="1">
      <alignment horizontal="left" vertical="center" wrapText="1"/>
    </xf>
    <xf numFmtId="0" fontId="0" fillId="0" borderId="35" xfId="0" applyBorder="1" applyAlignment="1">
      <alignment wrapText="1"/>
    </xf>
    <xf numFmtId="0" fontId="0" fillId="0" borderId="35" xfId="0" applyBorder="1"/>
    <xf numFmtId="0" fontId="0" fillId="8" borderId="19" xfId="0" applyFill="1" applyBorder="1" applyAlignment="1">
      <alignment horizontal="center"/>
    </xf>
    <xf numFmtId="0" fontId="11" fillId="0" borderId="10" xfId="0" applyFont="1" applyBorder="1" applyAlignment="1">
      <alignment horizontal="center" vertical="center" wrapText="1"/>
    </xf>
    <xf numFmtId="0" fontId="0" fillId="0" borderId="11" xfId="0" applyBorder="1" applyAlignment="1">
      <alignment horizontal="left" vertical="center" wrapText="1"/>
    </xf>
    <xf numFmtId="0" fontId="11" fillId="0" borderId="25" xfId="0" applyFont="1" applyBorder="1" applyAlignment="1">
      <alignment horizontal="center" vertical="center" wrapText="1"/>
    </xf>
    <xf numFmtId="0" fontId="11" fillId="0" borderId="18" xfId="0" applyFont="1" applyBorder="1" applyAlignment="1">
      <alignment horizontal="center" vertical="center" wrapText="1"/>
    </xf>
    <xf numFmtId="6" fontId="12" fillId="0" borderId="2" xfId="2" applyNumberFormat="1" applyFont="1" applyBorder="1" applyAlignment="1">
      <alignment horizontal="center"/>
    </xf>
    <xf numFmtId="0" fontId="11" fillId="0" borderId="0" xfId="0" applyFont="1" applyAlignment="1">
      <alignment vertical="center"/>
    </xf>
    <xf numFmtId="0" fontId="13" fillId="0" borderId="2" xfId="0" applyFont="1" applyBorder="1" applyAlignment="1">
      <alignment horizontal="center" vertical="center" wrapText="1"/>
    </xf>
    <xf numFmtId="4" fontId="13" fillId="0" borderId="2" xfId="0" applyNumberFormat="1" applyFont="1" applyBorder="1" applyAlignment="1">
      <alignment horizontal="center" vertical="center" wrapText="1"/>
    </xf>
    <xf numFmtId="4" fontId="13" fillId="8" borderId="2" xfId="0" applyNumberFormat="1" applyFont="1" applyFill="1" applyBorder="1" applyAlignment="1">
      <alignment horizontal="center" vertical="center"/>
    </xf>
    <xf numFmtId="0" fontId="14" fillId="0" borderId="0" xfId="0" applyFont="1" applyAlignment="1">
      <alignment horizontal="center" vertical="center"/>
    </xf>
    <xf numFmtId="8" fontId="13" fillId="0" borderId="2" xfId="0" applyNumberFormat="1" applyFont="1" applyBorder="1" applyAlignment="1">
      <alignment vertical="center"/>
    </xf>
    <xf numFmtId="0" fontId="16" fillId="8" borderId="0" xfId="0" applyFont="1" applyFill="1" applyAlignment="1">
      <alignment vertical="center" wrapText="1"/>
    </xf>
    <xf numFmtId="0" fontId="13" fillId="8" borderId="0" xfId="0" applyFont="1" applyFill="1"/>
    <xf numFmtId="0" fontId="5" fillId="2" borderId="2" xfId="0" applyFont="1" applyFill="1" applyBorder="1" applyAlignment="1">
      <alignment horizontal="center" vertical="center" wrapText="1"/>
    </xf>
    <xf numFmtId="1" fontId="0" fillId="3" borderId="2" xfId="0" applyNumberFormat="1" applyFill="1" applyBorder="1" applyAlignment="1">
      <alignment horizontal="right" vertical="center" wrapText="1"/>
    </xf>
    <xf numFmtId="164" fontId="0" fillId="2" borderId="2" xfId="0" applyNumberFormat="1" applyFill="1" applyBorder="1" applyAlignment="1">
      <alignment horizontal="right" vertical="center" wrapText="1"/>
    </xf>
    <xf numFmtId="164" fontId="0" fillId="4" borderId="2" xfId="0" applyNumberFormat="1" applyFill="1" applyBorder="1" applyAlignment="1">
      <alignment horizontal="right" vertical="center" wrapText="1"/>
    </xf>
    <xf numFmtId="1" fontId="0" fillId="5" borderId="2" xfId="0" applyNumberFormat="1" applyFill="1" applyBorder="1" applyAlignment="1">
      <alignment horizontal="right" vertical="center" wrapText="1"/>
    </xf>
    <xf numFmtId="164" fontId="0" fillId="6" borderId="2" xfId="0" applyNumberFormat="1" applyFill="1" applyBorder="1" applyAlignment="1">
      <alignment horizontal="right" vertical="center" wrapText="1"/>
    </xf>
    <xf numFmtId="0" fontId="14" fillId="0" borderId="2" xfId="0" applyFont="1" applyBorder="1" applyAlignment="1">
      <alignment horizontal="center" vertical="center"/>
    </xf>
    <xf numFmtId="165" fontId="11" fillId="0" borderId="4" xfId="0" applyNumberFormat="1" applyFont="1" applyBorder="1" applyAlignment="1">
      <alignment horizontal="center" vertical="center"/>
    </xf>
    <xf numFmtId="0" fontId="17" fillId="8" borderId="2" xfId="0" applyFont="1" applyFill="1" applyBorder="1" applyAlignment="1">
      <alignment horizontal="center" vertical="center"/>
    </xf>
    <xf numFmtId="0" fontId="10" fillId="10" borderId="2" xfId="0" applyFont="1" applyFill="1" applyBorder="1" applyAlignment="1">
      <alignment horizontal="center" vertical="center" wrapText="1"/>
    </xf>
    <xf numFmtId="165" fontId="17" fillId="0" borderId="2" xfId="0" applyNumberFormat="1" applyFont="1" applyBorder="1" applyAlignment="1">
      <alignment horizontal="center" vertical="center"/>
    </xf>
    <xf numFmtId="0" fontId="17" fillId="0" borderId="0" xfId="0" applyFont="1" applyAlignment="1">
      <alignment horizontal="center" vertical="center"/>
    </xf>
    <xf numFmtId="4" fontId="16" fillId="8" borderId="2" xfId="0" applyNumberFormat="1" applyFont="1" applyFill="1" applyBorder="1" applyAlignment="1">
      <alignment horizontal="center" vertical="center"/>
    </xf>
    <xf numFmtId="0" fontId="13" fillId="8" borderId="2" xfId="0" applyFont="1" applyFill="1" applyBorder="1" applyAlignment="1">
      <alignment horizontal="center" vertical="center"/>
    </xf>
    <xf numFmtId="0" fontId="14" fillId="8" borderId="2" xfId="0" applyFont="1" applyFill="1" applyBorder="1" applyAlignment="1">
      <alignment horizontal="center" vertical="center"/>
    </xf>
    <xf numFmtId="0" fontId="10" fillId="8" borderId="2" xfId="0" applyFont="1" applyFill="1" applyBorder="1" applyAlignment="1">
      <alignment horizontal="center" vertical="center" wrapText="1"/>
    </xf>
    <xf numFmtId="0" fontId="11" fillId="0" borderId="0" xfId="0" applyFont="1" applyAlignment="1">
      <alignment vertical="center" wrapText="1"/>
    </xf>
    <xf numFmtId="0" fontId="14" fillId="11" borderId="2" xfId="0" applyFont="1" applyFill="1" applyBorder="1" applyAlignment="1">
      <alignment horizontal="center" vertical="center" wrapText="1"/>
    </xf>
    <xf numFmtId="0" fontId="13" fillId="11" borderId="4" xfId="0" applyFont="1" applyFill="1" applyBorder="1" applyAlignment="1">
      <alignment horizontal="center" vertical="center" wrapText="1"/>
    </xf>
    <xf numFmtId="4" fontId="14" fillId="11" borderId="2" xfId="0" applyNumberFormat="1" applyFont="1" applyFill="1" applyBorder="1" applyAlignment="1">
      <alignment horizontal="center" vertical="center"/>
    </xf>
    <xf numFmtId="0" fontId="16" fillId="11" borderId="2" xfId="0" applyFont="1" applyFill="1" applyBorder="1" applyAlignment="1">
      <alignment horizontal="left" vertical="center" wrapText="1"/>
    </xf>
    <xf numFmtId="4" fontId="17" fillId="11" borderId="2" xfId="0" applyNumberFormat="1" applyFont="1" applyFill="1" applyBorder="1" applyAlignment="1">
      <alignment horizontal="center" vertical="center"/>
    </xf>
    <xf numFmtId="167" fontId="0" fillId="0" borderId="0" xfId="0" applyNumberFormat="1" applyAlignment="1">
      <alignment vertical="center"/>
    </xf>
    <xf numFmtId="165" fontId="14" fillId="8" borderId="2" xfId="0" applyNumberFormat="1" applyFont="1" applyFill="1" applyBorder="1" applyAlignment="1">
      <alignment horizontal="center" vertical="center"/>
    </xf>
    <xf numFmtId="0" fontId="16" fillId="0" borderId="2" xfId="0" applyFont="1" applyBorder="1" applyAlignment="1">
      <alignment horizontal="center" vertical="center" wrapText="1"/>
    </xf>
    <xf numFmtId="15" fontId="16" fillId="0" borderId="2" xfId="0" applyNumberFormat="1" applyFont="1" applyBorder="1" applyAlignment="1">
      <alignment horizontal="center" vertical="center"/>
    </xf>
    <xf numFmtId="165" fontId="11" fillId="0" borderId="4" xfId="0" applyNumberFormat="1" applyFont="1" applyBorder="1" applyAlignment="1">
      <alignment horizontal="center" vertical="center" wrapText="1"/>
    </xf>
    <xf numFmtId="0" fontId="18" fillId="11" borderId="2" xfId="0" applyFont="1" applyFill="1" applyBorder="1" applyAlignment="1">
      <alignment horizontal="center" vertical="center" wrapText="1"/>
    </xf>
    <xf numFmtId="0" fontId="11" fillId="11" borderId="2" xfId="0" applyFont="1" applyFill="1" applyBorder="1" applyAlignment="1">
      <alignment horizontal="center" vertical="center" wrapText="1"/>
    </xf>
    <xf numFmtId="0" fontId="11" fillId="11" borderId="2" xfId="0" applyFont="1" applyFill="1" applyBorder="1" applyAlignment="1">
      <alignment horizontal="center" wrapText="1"/>
    </xf>
    <xf numFmtId="0" fontId="0" fillId="8" borderId="0" xfId="0" applyFill="1" applyAlignment="1">
      <alignment wrapText="1"/>
    </xf>
    <xf numFmtId="0" fontId="10" fillId="10" borderId="5" xfId="0" applyFont="1" applyFill="1" applyBorder="1" applyAlignment="1">
      <alignment horizontal="center" vertical="center" wrapText="1"/>
    </xf>
    <xf numFmtId="14" fontId="0" fillId="0" borderId="2" xfId="0" applyNumberFormat="1" applyBorder="1" applyAlignment="1">
      <alignment horizontal="center" vertical="center" wrapText="1"/>
    </xf>
    <xf numFmtId="15" fontId="13" fillId="0" borderId="2" xfId="0" applyNumberFormat="1" applyFont="1" applyBorder="1" applyAlignment="1">
      <alignment horizontal="center" vertical="center"/>
    </xf>
    <xf numFmtId="44" fontId="13" fillId="0" borderId="2" xfId="5" applyFont="1" applyBorder="1" applyAlignment="1">
      <alignment horizontal="center" vertical="center"/>
    </xf>
    <xf numFmtId="0" fontId="16" fillId="0" borderId="5" xfId="0" applyFont="1" applyBorder="1" applyAlignment="1">
      <alignment horizontal="justify" vertical="center" wrapText="1"/>
    </xf>
    <xf numFmtId="0" fontId="16"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5" xfId="0" applyFont="1" applyBorder="1" applyAlignment="1">
      <alignment horizontal="center" vertical="center" wrapText="1"/>
    </xf>
    <xf numFmtId="0" fontId="13" fillId="0" borderId="5" xfId="0" applyFont="1" applyBorder="1" applyAlignment="1">
      <alignment horizontal="justify" vertical="center" wrapText="1"/>
    </xf>
    <xf numFmtId="0" fontId="13" fillId="0" borderId="9" xfId="0" applyFont="1" applyBorder="1" applyAlignment="1">
      <alignment horizontal="center" vertical="center"/>
    </xf>
    <xf numFmtId="0" fontId="13" fillId="0" borderId="2" xfId="0" applyFont="1" applyBorder="1" applyAlignment="1">
      <alignment horizontal="center" vertical="center"/>
    </xf>
    <xf numFmtId="0" fontId="17" fillId="0" borderId="2" xfId="0" applyFont="1" applyBorder="1" applyAlignment="1">
      <alignment horizontal="center" vertical="center"/>
    </xf>
    <xf numFmtId="0" fontId="0" fillId="0" borderId="2" xfId="0" applyBorder="1"/>
    <xf numFmtId="0" fontId="13" fillId="0" borderId="7" xfId="0" applyFont="1" applyBorder="1" applyAlignment="1">
      <alignment horizontal="center" vertical="center"/>
    </xf>
    <xf numFmtId="0" fontId="0" fillId="0" borderId="2" xfId="2" applyNumberFormat="1" applyFont="1" applyFill="1" applyBorder="1" applyAlignment="1">
      <alignment horizontal="center" vertical="center"/>
    </xf>
    <xf numFmtId="165" fontId="17" fillId="8" borderId="2" xfId="0" applyNumberFormat="1" applyFont="1" applyFill="1" applyBorder="1" applyAlignment="1">
      <alignment horizontal="center" vertical="center"/>
    </xf>
    <xf numFmtId="0" fontId="17" fillId="8" borderId="0" xfId="0" applyFont="1" applyFill="1" applyAlignment="1">
      <alignment horizontal="center" vertical="center"/>
    </xf>
    <xf numFmtId="165" fontId="11" fillId="9" borderId="2" xfId="0" applyNumberFormat="1" applyFont="1" applyFill="1" applyBorder="1" applyAlignment="1">
      <alignment horizontal="center" vertical="center"/>
    </xf>
    <xf numFmtId="0" fontId="14" fillId="9" borderId="0" xfId="0" applyFont="1" applyFill="1" applyAlignment="1">
      <alignment horizontal="center" vertical="center"/>
    </xf>
    <xf numFmtId="0" fontId="26" fillId="11" borderId="2" xfId="0" applyFont="1" applyFill="1" applyBorder="1" applyAlignment="1">
      <alignment horizontal="left" vertical="center" wrapText="1"/>
    </xf>
    <xf numFmtId="0" fontId="20" fillId="0" borderId="46" xfId="0" applyFont="1" applyBorder="1" applyAlignment="1">
      <alignment horizontal="center" vertical="center"/>
    </xf>
    <xf numFmtId="0" fontId="20" fillId="8" borderId="6" xfId="0" applyFont="1" applyFill="1" applyBorder="1" applyAlignment="1">
      <alignment horizontal="center" vertical="center"/>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0" fontId="0" fillId="8" borderId="2" xfId="0" applyFill="1" applyBorder="1" applyAlignment="1">
      <alignment horizontal="center"/>
    </xf>
    <xf numFmtId="0" fontId="27" fillId="8" borderId="0" xfId="0" applyFont="1" applyFill="1"/>
    <xf numFmtId="0" fontId="24" fillId="12" borderId="0" xfId="0" applyFont="1" applyFill="1" applyBorder="1" applyAlignment="1">
      <alignment horizontal="center" vertical="center" wrapText="1"/>
    </xf>
    <xf numFmtId="0" fontId="22" fillId="0" borderId="2" xfId="0" applyFont="1" applyBorder="1" applyAlignment="1">
      <alignment horizontal="center" vertical="center" wrapText="1"/>
    </xf>
    <xf numFmtId="0" fontId="23" fillId="0" borderId="2" xfId="0" applyFont="1" applyBorder="1" applyAlignment="1">
      <alignment horizontal="center" vertical="center" wrapText="1"/>
    </xf>
    <xf numFmtId="0" fontId="0" fillId="8" borderId="0" xfId="0" applyFill="1" applyAlignment="1">
      <alignment horizontal="center"/>
    </xf>
    <xf numFmtId="0" fontId="0" fillId="8" borderId="45" xfId="0" applyFill="1" applyBorder="1" applyAlignment="1">
      <alignment horizontal="center"/>
    </xf>
    <xf numFmtId="0" fontId="21" fillId="10" borderId="44" xfId="0" applyFont="1" applyFill="1" applyBorder="1" applyAlignment="1">
      <alignment horizontal="center" vertical="center" wrapText="1"/>
    </xf>
    <xf numFmtId="0" fontId="21" fillId="10" borderId="7" xfId="0" applyFont="1" applyFill="1" applyBorder="1" applyAlignment="1">
      <alignment horizontal="center" vertical="center" wrapText="1"/>
    </xf>
    <xf numFmtId="0" fontId="11" fillId="0" borderId="5" xfId="0" applyFont="1" applyBorder="1" applyAlignment="1">
      <alignment horizontal="center" vertical="center"/>
    </xf>
    <xf numFmtId="0" fontId="11" fillId="0" borderId="2" xfId="0" applyFont="1" applyBorder="1" applyAlignment="1">
      <alignment horizontal="center" vertical="center"/>
    </xf>
    <xf numFmtId="0" fontId="0" fillId="0" borderId="2" xfId="0" applyBorder="1" applyAlignment="1">
      <alignment horizontal="center" vertical="center"/>
    </xf>
    <xf numFmtId="0" fontId="11" fillId="0" borderId="2" xfId="0" applyFont="1" applyBorder="1" applyAlignment="1">
      <alignment horizontal="center" vertical="center" wrapText="1"/>
    </xf>
    <xf numFmtId="0" fontId="11" fillId="8" borderId="2" xfId="0" applyFont="1" applyFill="1" applyBorder="1" applyAlignment="1">
      <alignment horizontal="center" vertical="center" wrapText="1"/>
    </xf>
    <xf numFmtId="0" fontId="11" fillId="9" borderId="2" xfId="0" applyFont="1" applyFill="1" applyBorder="1" applyAlignment="1">
      <alignment horizontal="center" vertical="center"/>
    </xf>
    <xf numFmtId="0" fontId="21" fillId="10" borderId="2" xfId="0" applyFont="1" applyFill="1" applyBorder="1" applyAlignment="1">
      <alignment horizontal="center" vertical="center" wrapText="1"/>
    </xf>
    <xf numFmtId="0" fontId="16" fillId="8" borderId="44"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11" fillId="8" borderId="13" xfId="0" applyFont="1" applyFill="1" applyBorder="1" applyAlignment="1">
      <alignment horizontal="center"/>
    </xf>
    <xf numFmtId="0" fontId="11" fillId="8" borderId="2" xfId="0" applyFont="1" applyFill="1" applyBorder="1" applyAlignment="1">
      <alignment horizontal="center"/>
    </xf>
    <xf numFmtId="0" fontId="11" fillId="8" borderId="15" xfId="0" applyFont="1" applyFill="1" applyBorder="1" applyAlignment="1">
      <alignment horizontal="center"/>
    </xf>
    <xf numFmtId="0" fontId="11" fillId="8" borderId="16" xfId="0" applyFont="1" applyFill="1" applyBorder="1" applyAlignment="1">
      <alignment horizontal="center"/>
    </xf>
    <xf numFmtId="0" fontId="11" fillId="8" borderId="25" xfId="0" applyFont="1" applyFill="1" applyBorder="1" applyAlignment="1">
      <alignment horizontal="center"/>
    </xf>
    <xf numFmtId="0" fontId="11" fillId="8" borderId="27" xfId="0" applyFont="1" applyFill="1" applyBorder="1" applyAlignment="1">
      <alignment horizontal="center"/>
    </xf>
    <xf numFmtId="0" fontId="11" fillId="8" borderId="33" xfId="0" applyFont="1" applyFill="1" applyBorder="1" applyAlignment="1">
      <alignment horizontal="center" vertical="center"/>
    </xf>
    <xf numFmtId="0" fontId="11" fillId="8" borderId="34" xfId="0" applyFont="1" applyFill="1" applyBorder="1" applyAlignment="1">
      <alignment horizontal="center" vertical="center"/>
    </xf>
    <xf numFmtId="0" fontId="11" fillId="0" borderId="32"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4" xfId="0" applyFont="1" applyBorder="1" applyAlignment="1">
      <alignment horizontal="center" vertical="center" wrapText="1"/>
    </xf>
    <xf numFmtId="0" fontId="11" fillId="8" borderId="32" xfId="0" applyFont="1" applyFill="1" applyBorder="1" applyAlignment="1">
      <alignment horizontal="center" vertical="center" wrapText="1"/>
    </xf>
    <xf numFmtId="0" fontId="11" fillId="8" borderId="7"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8" borderId="10" xfId="0" applyFont="1" applyFill="1" applyBorder="1" applyAlignment="1">
      <alignment horizontal="center"/>
    </xf>
    <xf numFmtId="0" fontId="11" fillId="8" borderId="11" xfId="0" applyFont="1" applyFill="1" applyBorder="1" applyAlignment="1">
      <alignment horizontal="center"/>
    </xf>
    <xf numFmtId="0" fontId="11" fillId="0" borderId="0" xfId="0" applyFont="1" applyAlignment="1">
      <alignment horizontal="center"/>
    </xf>
    <xf numFmtId="0" fontId="11" fillId="8" borderId="0" xfId="0" applyFont="1" applyFill="1" applyAlignment="1">
      <alignment horizontal="left" vertical="center"/>
    </xf>
    <xf numFmtId="0" fontId="11" fillId="8" borderId="2" xfId="0" applyFont="1" applyFill="1" applyBorder="1" applyAlignment="1">
      <alignment horizontal="left" vertical="center" wrapText="1"/>
    </xf>
    <xf numFmtId="0" fontId="11" fillId="0" borderId="39" xfId="0" applyFont="1" applyBorder="1" applyAlignment="1">
      <alignment horizontal="center" vertical="center" wrapText="1"/>
    </xf>
    <xf numFmtId="0" fontId="0" fillId="8" borderId="9" xfId="0" applyFill="1" applyBorder="1" applyAlignment="1">
      <alignment horizontal="center" vertical="center"/>
    </xf>
    <xf numFmtId="0" fontId="11" fillId="0" borderId="41" xfId="0" applyFont="1" applyBorder="1" applyAlignment="1">
      <alignment horizontal="center" vertical="center" wrapText="1"/>
    </xf>
    <xf numFmtId="0" fontId="11" fillId="0" borderId="42" xfId="0" applyFont="1" applyBorder="1" applyAlignment="1">
      <alignment horizontal="center" vertical="center" wrapText="1"/>
    </xf>
    <xf numFmtId="0" fontId="0" fillId="8" borderId="11" xfId="0" applyFill="1" applyBorder="1" applyAlignment="1">
      <alignment horizontal="center" vertical="center"/>
    </xf>
    <xf numFmtId="0" fontId="0" fillId="8" borderId="16" xfId="0" applyFill="1" applyBorder="1" applyAlignment="1">
      <alignment horizontal="center" vertical="center"/>
    </xf>
    <xf numFmtId="0" fontId="14" fillId="8" borderId="39" xfId="0" applyFont="1" applyFill="1" applyBorder="1" applyAlignment="1">
      <alignment horizontal="center" vertical="center"/>
    </xf>
    <xf numFmtId="0" fontId="14" fillId="8" borderId="23" xfId="0" applyFont="1" applyFill="1" applyBorder="1" applyAlignment="1">
      <alignment horizontal="center" vertical="center"/>
    </xf>
    <xf numFmtId="0" fontId="2" fillId="0" borderId="0" xfId="0" applyFont="1" applyAlignment="1">
      <alignment horizontal="left" vertical="top" wrapText="1"/>
    </xf>
    <xf numFmtId="0" fontId="3" fillId="0" borderId="1" xfId="0" applyFont="1" applyBorder="1" applyAlignment="1">
      <alignment horizontal="left" vertical="top" wrapText="1"/>
    </xf>
    <xf numFmtId="0" fontId="11" fillId="0" borderId="0" xfId="0" applyFont="1" applyAlignment="1">
      <alignment horizontal="center" vertical="center"/>
    </xf>
    <xf numFmtId="0" fontId="11" fillId="0" borderId="0" xfId="0" applyFont="1" applyAlignment="1">
      <alignment horizontal="left" vertical="center" wrapText="1"/>
    </xf>
    <xf numFmtId="0" fontId="10" fillId="7" borderId="5"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0" fillId="8" borderId="2" xfId="0" applyFill="1" applyBorder="1" applyAlignment="1">
      <alignment horizontal="center" vertical="center"/>
    </xf>
  </cellXfs>
  <cellStyles count="6">
    <cellStyle name="Millares" xfId="2" builtinId="3"/>
    <cellStyle name="Millares 2" xfId="4" xr:uid="{00000000-0005-0000-0000-000001000000}"/>
    <cellStyle name="Moneda" xfId="5" builtinId="4"/>
    <cellStyle name="Normal" xfId="0" builtinId="0"/>
    <cellStyle name="Normal 2" xfId="1" xr:uid="{00000000-0005-0000-0000-000003000000}"/>
    <cellStyle name="Porcentaje" xfId="3" builtinId="5"/>
  </cellStyles>
  <dxfs count="633">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general"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top/>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164" formatCode="[$$]\ #,##0.00;\-[$$]\ #,##0.00"/>
      <fill>
        <patternFill patternType="solid">
          <fgColor indexed="64"/>
          <bgColor rgb="FFFFFFFF"/>
        </patternFill>
      </fill>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 formatCode="0"/>
      <fill>
        <patternFill patternType="solid">
          <fgColor indexed="64"/>
          <bgColor rgb="FFCFE0F1"/>
        </patternFill>
      </fill>
      <alignment horizontal="right"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left style="thin">
          <color rgb="FF979991"/>
        </left>
        <right style="thin">
          <color rgb="FF979991"/>
        </right>
        <top style="thin">
          <color rgb="FF979991"/>
        </top>
        <bottom style="thin">
          <color rgb="FF979991"/>
        </bottom>
      </border>
    </dxf>
    <dxf>
      <fill>
        <patternFill patternType="solid">
          <fgColor indexed="64"/>
          <bgColor rgb="FFFFFFFF"/>
        </patternFill>
      </fill>
      <alignment horizontal="right" vertical="center" textRotation="0" wrapText="1" indent="0" justifyLastLine="0" shrinkToFit="0" readingOrder="0"/>
    </dxf>
    <dxf>
      <font>
        <b/>
        <i val="0"/>
        <strike val="0"/>
        <condense val="0"/>
        <extend val="0"/>
        <outline val="0"/>
        <shadow val="0"/>
        <u val="none"/>
        <vertAlign val="baseline"/>
        <sz val="11"/>
        <color theme="1"/>
        <name val="Calibri"/>
        <scheme val="none"/>
      </font>
      <fill>
        <patternFill patternType="solid">
          <fgColor indexed="64"/>
          <bgColor rgb="FFFFFFFF"/>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rgb="FFFF0000"/>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rgb="FFFF0000"/>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family val="2"/>
        <scheme val="minor"/>
      </font>
      <alignment horizontal="justify"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alignment horizontal="center" vertical="center" textRotation="0" wrapText="0" indent="0" justifyLastLine="0" shrinkToFit="0" readingOrder="0"/>
      <border outline="0">
        <left style="thin">
          <color indexed="64"/>
        </left>
        <right style="thin">
          <color indexed="64"/>
        </right>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rgb="FFFF0000"/>
        <name val="Calibri"/>
        <scheme val="minor"/>
      </font>
      <numFmt numFmtId="4" formatCode="#,##0.00"/>
      <fill>
        <patternFill patternType="solid">
          <fgColor indexed="64"/>
          <bgColor theme="0" tint="-4.9989318521683403E-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1"/>
        <color auto="1"/>
        <name val="Calibri"/>
        <scheme val="minor"/>
      </font>
      <numFmt numFmtId="4" formatCode="#,##0.00"/>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font>
        <color auto="1"/>
      </font>
      <numFmt numFmtId="4" formatCode="#,##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rgb="FFFF0000"/>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scheme val="minor"/>
      </font>
      <numFmt numFmtId="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numFmt numFmtId="12" formatCode="&quot;$&quot;\ #,##0.00;[Red]\-&quot;$&quot;\ #,##0.00"/>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2" formatCode="&quot;$&quot;\ #,##0.00;[Red]\-&quot;$&quot;\ #,##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20" formatCode="d\-mmm\-yy"/>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20" formatCode="d\-mmm\-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outline="0">
        <left/>
        <right/>
        <top/>
        <bottom/>
      </border>
    </dxf>
    <dxf>
      <numFmt numFmtId="4"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justify"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alignment horizontal="center" vertical="center" textRotation="0" wrapText="0" indent="0" justifyLastLine="0" shrinkToFit="0" readingOrder="0"/>
      <border diagonalUp="0" diagonalDown="0" outline="0">
        <left/>
        <right style="thin">
          <color indexed="64"/>
        </right>
        <top style="thin">
          <color indexed="64"/>
        </top>
        <bottom/>
      </border>
    </dxf>
    <dxf>
      <numFmt numFmtId="0" formatCode="Genera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general" vertical="center" textRotation="0" indent="0" justifyLastLine="0" shrinkToFit="0" readingOrder="0"/>
    </dxf>
    <dxf>
      <border>
        <bottom style="thin">
          <color rgb="FF000000"/>
        </bottom>
      </border>
    </dxf>
    <dxf>
      <font>
        <strike val="0"/>
        <outline val="0"/>
        <shadow val="0"/>
        <u val="none"/>
        <vertAlign val="baseline"/>
        <sz val="11"/>
        <color auto="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solid">
          <fgColor rgb="FFD9E2F3"/>
          <bgColor rgb="FFD9E2F3"/>
        </patternFill>
      </fill>
    </dxf>
    <dxf>
      <fill>
        <patternFill patternType="solid">
          <fgColor rgb="FFB4C6E7"/>
          <bgColor rgb="FFB4C6E7"/>
        </patternFill>
      </fill>
    </dxf>
    <dxf>
      <fill>
        <patternFill patternType="solid">
          <fgColor theme="8"/>
          <bgColor theme="8"/>
        </patternFill>
      </fill>
    </dxf>
    <dxf>
      <fill>
        <patternFill patternType="solid">
          <fgColor rgb="FFD9E2F3"/>
          <bgColor rgb="FFD9E2F3"/>
        </patternFill>
      </fill>
    </dxf>
    <dxf>
      <fill>
        <patternFill patternType="solid">
          <fgColor rgb="FFB4C6E7"/>
          <bgColor rgb="FFB4C6E7"/>
        </patternFill>
      </fill>
    </dxf>
    <dxf>
      <fill>
        <patternFill patternType="solid">
          <fgColor theme="0"/>
          <bgColor theme="0"/>
        </patternFill>
      </fill>
    </dxf>
    <dxf>
      <fill>
        <patternFill patternType="solid">
          <fgColor theme="8"/>
          <bgColor theme="8"/>
        </patternFill>
      </fill>
    </dxf>
  </dxfs>
  <tableStyles count="2" defaultTableStyle="TableStyleMedium2" defaultPivotStyle="PivotStyleLight16">
    <tableStyle name="EXPERIENCIA-style" pivot="0" count="4" xr9:uid="{00000000-0011-0000-FFFF-FFFF00000000}">
      <tableStyleElement type="headerRow" dxfId="632"/>
      <tableStyleElement type="totalRow" dxfId="631"/>
      <tableStyleElement type="firstRowStripe" dxfId="630"/>
      <tableStyleElement type="secondRowStripe" dxfId="629"/>
    </tableStyle>
    <tableStyle name="SMMLV-style" pivot="0" count="3" xr9:uid="{00000000-0011-0000-FFFF-FFFF01000000}">
      <tableStyleElement type="headerRow" dxfId="628"/>
      <tableStyleElement type="firstRowStripe" dxfId="627"/>
      <tableStyleElement type="secondRowStripe" dxfId="626"/>
    </tableStyle>
  </tableStyles>
  <colors>
    <mruColors>
      <color rgb="FFFC560C"/>
      <color rgb="FFFF3300"/>
      <color rgb="FFFED5C2"/>
      <color rgb="FF867E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17/06/relationships/rdRichValueStructure" Target="richData/rdrichvaluestructur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1</xdr:col>
      <xdr:colOff>308610</xdr:colOff>
      <xdr:row>1</xdr:row>
      <xdr:rowOff>76201</xdr:rowOff>
    </xdr:from>
    <xdr:to>
      <xdr:col>1</xdr:col>
      <xdr:colOff>1448409</xdr:colOff>
      <xdr:row>3</xdr:row>
      <xdr:rowOff>236221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070610" y="266701"/>
          <a:ext cx="1139799" cy="712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2" name="Imagen 1">
          <a:extLst>
            <a:ext uri="{FF2B5EF4-FFF2-40B4-BE49-F238E27FC236}">
              <a16:creationId xmlns:a16="http://schemas.microsoft.com/office/drawing/2014/main" id="{6EECC78B-73AA-4B49-98D7-4F932FDF7119}"/>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2" name="Imagen 1">
          <a:extLst>
            <a:ext uri="{FF2B5EF4-FFF2-40B4-BE49-F238E27FC236}">
              <a16:creationId xmlns:a16="http://schemas.microsoft.com/office/drawing/2014/main" id="{E70FEEB7-DD65-4A14-8D38-989C82165BE9}"/>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2" name="Imagen 1">
          <a:extLst>
            <a:ext uri="{FF2B5EF4-FFF2-40B4-BE49-F238E27FC236}">
              <a16:creationId xmlns:a16="http://schemas.microsoft.com/office/drawing/2014/main" id="{0C8C0FD0-F692-43C8-B888-9AE2EB649544}"/>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2</xdr:col>
      <xdr:colOff>3735873</xdr:colOff>
      <xdr:row>2</xdr:row>
      <xdr:rowOff>903517</xdr:rowOff>
    </xdr:to>
    <xdr:pic>
      <xdr:nvPicPr>
        <xdr:cNvPr id="2" name="Imagen 1">
          <a:extLst>
            <a:ext uri="{FF2B5EF4-FFF2-40B4-BE49-F238E27FC236}">
              <a16:creationId xmlns:a16="http://schemas.microsoft.com/office/drawing/2014/main" id="{179EE46B-52D3-4E9D-A91B-558210EBCBFD}"/>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2" name="Imagen 1">
          <a:extLst>
            <a:ext uri="{FF2B5EF4-FFF2-40B4-BE49-F238E27FC236}">
              <a16:creationId xmlns:a16="http://schemas.microsoft.com/office/drawing/2014/main" id="{FB655E67-16D0-42CE-AD0A-F2D531A0F15C}"/>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4027715" y="478974"/>
          <a:ext cx="1251208" cy="79465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2" name="Imagen 1">
          <a:extLst>
            <a:ext uri="{FF2B5EF4-FFF2-40B4-BE49-F238E27FC236}">
              <a16:creationId xmlns:a16="http://schemas.microsoft.com/office/drawing/2014/main" id="{EC994C2D-8954-4D79-A3A4-EDCE74A3F5D8}"/>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2" name="Imagen 1">
          <a:extLst>
            <a:ext uri="{FF2B5EF4-FFF2-40B4-BE49-F238E27FC236}">
              <a16:creationId xmlns:a16="http://schemas.microsoft.com/office/drawing/2014/main" id="{554BEA23-CD4F-49BE-B6E2-1C98FAABD3AE}"/>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2590801</xdr:colOff>
      <xdr:row>2</xdr:row>
      <xdr:rowOff>108860</xdr:rowOff>
    </xdr:from>
    <xdr:to>
      <xdr:col>3</xdr:col>
      <xdr:colOff>184409</xdr:colOff>
      <xdr:row>2</xdr:row>
      <xdr:rowOff>903517</xdr:rowOff>
    </xdr:to>
    <xdr:pic>
      <xdr:nvPicPr>
        <xdr:cNvPr id="2" name="Imagen 1">
          <a:extLst>
            <a:ext uri="{FF2B5EF4-FFF2-40B4-BE49-F238E27FC236}">
              <a16:creationId xmlns:a16="http://schemas.microsoft.com/office/drawing/2014/main" id="{1A8537EA-320F-4A2B-9089-27449052E137}"/>
            </a:ext>
          </a:extLst>
        </xdr:cNvPr>
        <xdr:cNvPicPr>
          <a:picLocks noChangeAspect="1"/>
        </xdr:cNvPicPr>
      </xdr:nvPicPr>
      <xdr:blipFill>
        <a:blip xmlns:r="http://schemas.openxmlformats.org/officeDocument/2006/relationships" r:embed="rId1"/>
        <a:stretch>
          <a:fillRect/>
        </a:stretch>
      </xdr:blipFill>
      <xdr:spPr>
        <a:xfrm>
          <a:off x="3981451" y="489860"/>
          <a:ext cx="1146433" cy="7946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448611</xdr:colOff>
      <xdr:row>2</xdr:row>
      <xdr:rowOff>175532</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lum/>
          <a:alphaModFix/>
        </a:blip>
        <a:srcRect/>
        <a:stretch>
          <a:fillRect/>
        </a:stretch>
      </xdr:blipFill>
      <xdr:spPr>
        <a:xfrm>
          <a:off x="0" y="0"/>
          <a:ext cx="3134662" cy="543832"/>
        </a:xfrm>
        <a:prstGeom prst="rect">
          <a:avLst/>
        </a:prstGeom>
        <a:noFill/>
        <a:ln>
          <a:noFill/>
          <a:prstDash/>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34017</xdr:colOff>
      <xdr:row>1</xdr:row>
      <xdr:rowOff>34018</xdr:rowOff>
    </xdr:from>
    <xdr:to>
      <xdr:col>3</xdr:col>
      <xdr:colOff>306159</xdr:colOff>
      <xdr:row>5</xdr:row>
      <xdr:rowOff>0</xdr:rowOff>
    </xdr:to>
    <xdr:pic>
      <xdr:nvPicPr>
        <xdr:cNvPr id="2" name="Imagen 1">
          <a:extLst>
            <a:ext uri="{FF2B5EF4-FFF2-40B4-BE49-F238E27FC236}">
              <a16:creationId xmlns:a16="http://schemas.microsoft.com/office/drawing/2014/main" id="{00000000-0008-0000-1500-000002000000}"/>
            </a:ext>
          </a:extLst>
        </xdr:cNvPr>
        <xdr:cNvPicPr/>
      </xdr:nvPicPr>
      <xdr:blipFill>
        <a:blip xmlns:r="http://schemas.openxmlformats.org/officeDocument/2006/relationships" r:embed="rId1">
          <a:lum/>
          <a:alphaModFix/>
        </a:blip>
        <a:srcRect/>
        <a:stretch>
          <a:fillRect/>
        </a:stretch>
      </xdr:blipFill>
      <xdr:spPr>
        <a:xfrm>
          <a:off x="796017" y="224518"/>
          <a:ext cx="3670662" cy="682262"/>
        </a:xfrm>
        <a:prstGeom prst="rect">
          <a:avLst/>
        </a:prstGeom>
        <a:noFill/>
        <a:ln>
          <a:noFill/>
          <a:prstDash/>
        </a:ln>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980D638-6E23-4D1F-9C7B-65BB7BC89A5C}" name="Tabla25683579" displayName="Tabla25683579" ref="B23:AE26" totalsRowShown="0" headerRowDxfId="625" dataDxfId="623" headerRowBorderDxfId="624" tableBorderDxfId="622" totalsRowBorderDxfId="621">
  <autoFilter ref="B23:AE26" xr:uid="{00000000-0009-0000-0100-000007000000}"/>
  <tableColumns count="30">
    <tableColumn id="1" xr3:uid="{832BFFD8-52F6-4D70-951C-641DC2FBC2F9}" name="No. " dataDxfId="620" totalsRowDxfId="619"/>
    <tableColumn id="2" xr3:uid="{80FBA003-D716-4180-BCE5-D9C7A6443F0A}" name="Entidad Contratante" dataDxfId="618" totalsRowDxfId="617"/>
    <tableColumn id="3" xr3:uid="{623E425E-359B-45C9-84A5-E111CBD671E1}" name="Contratista o Integrante que aporta experiencia" dataDxfId="616" totalsRowDxfId="615"/>
    <tableColumn id="14" xr3:uid="{3A736FDE-A1F8-4EE1-AB59-B7CAA5C0946D}" name="No contrato" dataDxfId="614" totalsRowDxfId="613"/>
    <tableColumn id="21" xr3:uid="{86B605FE-2D18-41C4-A9B0-D8BFED76C293}" name="Certificación / Acta de Liquidación" totalsRowDxfId="612"/>
    <tableColumn id="4" xr3:uid="{288EE749-40B9-4E2B-957C-ACD484AF18BD}" name="Objeto" dataDxfId="611" totalsRowDxfId="610"/>
    <tableColumn id="5" xr3:uid="{8FA4AC81-A9EC-4B4E-89A1-69B1E45CAC4A}" name="Indivicual / Consorcio / UT" dataDxfId="609" totalsRowDxfId="608"/>
    <tableColumn id="6" xr3:uid="{BA9068A5-949D-43DA-B251-D9D3753BD8DA}" name="% de Participacion" dataDxfId="607" totalsRowDxfId="606"/>
    <tableColumn id="10" xr3:uid="{BFC7DADD-EA2E-4A0E-843F-DA0154F4F013}" name="Documento de _x000a_asociación" dataDxfId="605" totalsRowDxfId="604"/>
    <tableColumn id="7" xr3:uid="{AED800D2-377A-4FA5-8034-3D86AF01A3F5}" name="# Consecutivo RUP" dataDxfId="603" totalsRowDxfId="602"/>
    <tableColumn id="8" xr3:uid="{F788BC84-FC58-48C4-8471-CD8E7851DEE5}" name="SMMLV RUP" dataDxfId="601" totalsRowDxfId="600"/>
    <tableColumn id="22" xr3:uid="{9ABF0091-7A5A-4A81-8932-FE26835E3EEB}" name="Fecha de Inicio" totalsRowDxfId="599"/>
    <tableColumn id="9" xr3:uid="{EA4A02A3-02C9-4C3B-AD76-A40ACF244F1C}" name="Fecha de Terminacion" dataDxfId="598" totalsRowDxfId="597"/>
    <tableColumn id="26" xr3:uid="{9B042B69-2FE7-4F8B-B04C-0A18DF880DAA}" name="Año de Terminación" dataDxfId="596" totalsRowDxfId="595" dataCellStyle="Millares">
      <calculatedColumnFormula>YEAR(Tabla25683579[[#This Row],[Fecha de Terminacion]])</calculatedColumnFormula>
    </tableColumn>
    <tableColumn id="23" xr3:uid="{92476414-1709-48F9-B4DA-6AA1CCF5607E}" name="Total SMMLV * % Participación (RUP)" dataDxfId="594" totalsRowDxfId="593">
      <calculatedColumnFormula>+Tabla25683579[[#This Row],[SMMLV RUP]]*Tabla25683579[[#This Row],[% de Participacion]]</calculatedColumnFormula>
    </tableColumn>
    <tableColumn id="15" xr3:uid="{A51E453D-3723-495B-987F-545F432C5097}" name="Valor Total Ejecutado del Contrato ($)" dataDxfId="592" totalsRowDxfId="591"/>
    <tableColumn id="12" xr3:uid="{80C80864-4530-4F13-9AB9-648528268915}" name="SMMLV AÑO DE TERMINACIÓN" dataDxfId="590" totalsRowDxfId="589">
      <calculatedColumnFormula>VLOOKUP(Tabla25683579[[#This Row],[Año de Terminación]],Tabla36[[Año]:[Salario mínimo mensual]],3,0)</calculatedColumnFormula>
    </tableColumn>
    <tableColumn id="25" xr3:uid="{9E7F6A65-102D-4B60-BEFE-21E00F8D0576}" name="Valor Total Ejecutado del Contrato expresado en SMMLV" dataDxfId="588" totalsRowDxfId="587">
      <calculatedColumnFormula>+Tabla25683579[[#This Row],[Valor Total Ejecutado del Contrato ($)]]/Tabla25683579[[#This Row],[SMMLV AÑO DE TERMINACIÓN]]*Tabla25683579[[#This Row],[% de Participacion]]</calculatedColumnFormula>
    </tableColumn>
    <tableColumn id="18" xr3:uid="{6DB7354F-A6E1-41D9-A702-795B0AB57EED}" name="70111700" dataDxfId="586" totalsRowDxfId="585"/>
    <tableColumn id="19" xr3:uid="{34D27251-F9C5-4052-9F07-1A4D1D009C45}" name="70141600" dataDxfId="584" totalsRowDxfId="583"/>
    <tableColumn id="20" xr3:uid="{E86954BD-BE6C-4A52-ABD1-91F98BA3BB0A}" name="72102100" dataDxfId="582" totalsRowDxfId="581"/>
    <tableColumn id="30" xr3:uid="{A5D9156E-F2EE-402B-8FFE-016222EF30EB}" name="72154000" dataDxfId="580" totalsRowDxfId="579"/>
    <tableColumn id="28" xr3:uid="{73292406-3F02-4278-A54D-ED499B3B5926}" name="76101500" dataDxfId="578" totalsRowDxfId="577"/>
    <tableColumn id="29" xr3:uid="{85704427-A6DC-4A9D-B078-17025665FC14}" name="78141600" dataDxfId="576" totalsRowDxfId="575"/>
    <tableColumn id="16" xr3:uid="{153A3943-9CAA-4EAF-8599-A4EF9B84C151}" name="Desinfección" dataDxfId="574" totalsRowDxfId="573"/>
    <tableColumn id="11" xr3:uid="{6F10BDD8-7929-43F0-95D8-3F0BAF11D454}" name="Fumigación" dataDxfId="572" totalsRowDxfId="571"/>
    <tableColumn id="13" xr3:uid="{EEB787C6-7BE3-4907-A888-BDD359722AB1}" name="Termonebulización" dataDxfId="570" totalsRowDxfId="569"/>
    <tableColumn id="24" xr3:uid="{EBDE40E9-8F2C-4643-92C9-EA896610BD8B}" name="FORMATO EXPERIENCIA HABILITANTE DEL PROPONENTE" dataDxfId="568" totalsRowDxfId="567"/>
    <tableColumn id="27" xr3:uid="{ECFCE379-4D3D-421F-A4C2-E927674993AA}" name="RESULTADO_x000a_CUMPLE / NO CUMPLE" dataDxfId="566" totalsRowDxfId="565"/>
    <tableColumn id="17" xr3:uid="{9BAD71DB-FB6B-4206-ADAD-8BF4C91A9F87}" name="OBSERVACIONES" dataDxfId="564" totalsRowDxfId="563"/>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9E13A47D-934E-4372-BE29-5080B120975B}" name="Tabla2568357910" displayName="Tabla2568357910" ref="B23:AE26" totalsRowShown="0" headerRowDxfId="562" dataDxfId="560" headerRowBorderDxfId="561" tableBorderDxfId="559" totalsRowBorderDxfId="558">
  <autoFilter ref="B23:AE26" xr:uid="{00000000-0009-0000-0100-000007000000}"/>
  <tableColumns count="30">
    <tableColumn id="1" xr3:uid="{AD9276F0-130E-48E4-9B88-98361F92327A}" name="No. " dataDxfId="557" totalsRowDxfId="556"/>
    <tableColumn id="2" xr3:uid="{BA3977D9-D217-481F-AA2B-2D4E8CA12B4D}" name="Entidad Contratante" dataDxfId="555" totalsRowDxfId="554"/>
    <tableColumn id="3" xr3:uid="{C5B39B90-3614-438A-84DE-C1DD5F8AF2A1}" name="Contratista o Integrante que aporta experiencia" dataDxfId="553" totalsRowDxfId="552"/>
    <tableColumn id="14" xr3:uid="{72006CB3-8575-45D7-AC88-E4D8E0EAEF94}" name="No contrato" dataDxfId="551" totalsRowDxfId="550"/>
    <tableColumn id="21" xr3:uid="{4A69084F-BA75-4282-9E5C-E9D6977966EB}" name="Certificación / Acta de Liquidación" totalsRowDxfId="549"/>
    <tableColumn id="4" xr3:uid="{DB0E659F-1F4F-40F1-91AF-49F4B3E283E3}" name="Objeto" dataDxfId="548" totalsRowDxfId="547"/>
    <tableColumn id="5" xr3:uid="{EA5C97FE-A8B4-48BE-9F85-ABA428B3E0B8}" name="Indivicual / Consorcio / UT" dataDxfId="546" totalsRowDxfId="545"/>
    <tableColumn id="6" xr3:uid="{92124A48-096B-412A-A803-2D5E480EBCF0}" name="% de Participacion" dataDxfId="544" totalsRowDxfId="543"/>
    <tableColumn id="10" xr3:uid="{EB94CC35-EED3-40AB-89C4-9EB2579C3AA5}" name="Documento de _x000a_asociación" dataDxfId="542" totalsRowDxfId="541"/>
    <tableColumn id="7" xr3:uid="{D7C96AA4-C7B4-4E30-9FC1-600F1B3B0852}" name="# Consecutivo RUP" dataDxfId="540" totalsRowDxfId="539"/>
    <tableColumn id="8" xr3:uid="{158876F2-A0F4-4627-BD58-003A3E92C92A}" name="SMMLV RUP" dataDxfId="538" totalsRowDxfId="537"/>
    <tableColumn id="22" xr3:uid="{A1321587-E0F5-430F-A610-AF9807058C94}" name="Fecha de Inicio" totalsRowDxfId="536"/>
    <tableColumn id="9" xr3:uid="{8E607C33-A2F0-4507-8AFC-F1BF167E199B}" name="Fecha de Terminacion" dataDxfId="535" totalsRowDxfId="534"/>
    <tableColumn id="26" xr3:uid="{6A3AE007-0DD5-4230-8319-12715CA6982D}" name="Año de Terminación" dataDxfId="533" totalsRowDxfId="532" dataCellStyle="Millares">
      <calculatedColumnFormula>YEAR(Tabla2568357910[[#This Row],[Fecha de Terminacion]])</calculatedColumnFormula>
    </tableColumn>
    <tableColumn id="23" xr3:uid="{7C8CCC64-1B5D-4900-ABC3-1CCDAA88E956}" name="Total SMMLV * % Participación (RUP)" dataDxfId="531" totalsRowDxfId="530">
      <calculatedColumnFormula>+Tabla2568357910[[#This Row],[SMMLV RUP]]*Tabla2568357910[[#This Row],[% de Participacion]]</calculatedColumnFormula>
    </tableColumn>
    <tableColumn id="15" xr3:uid="{D42543BD-3975-4015-9EA4-270533B757F7}" name="Valor Total Ejecutado del Contrato ($)" dataDxfId="529" totalsRowDxfId="528"/>
    <tableColumn id="12" xr3:uid="{0814F988-EAB6-402F-A2CD-234B321C267B}" name="SMMLV AÑO DE TERMINACIÓN" dataDxfId="527" totalsRowDxfId="526">
      <calculatedColumnFormula>VLOOKUP(Tabla2568357910[[#This Row],[Año de Terminación]],Tabla36[[Año]:[Salario mínimo mensual]],3,0)</calculatedColumnFormula>
    </tableColumn>
    <tableColumn id="25" xr3:uid="{AAAEA839-3B7C-4682-8EAF-E128ED23EF96}" name="Valor Total Ejecutado del Contrato expresado en SMMLV" dataDxfId="525" totalsRowDxfId="524">
      <calculatedColumnFormula>+Tabla2568357910[[#This Row],[Valor Total Ejecutado del Contrato ($)]]/Tabla2568357910[[#This Row],[SMMLV AÑO DE TERMINACIÓN]]*Tabla2568357910[[#This Row],[% de Participacion]]</calculatedColumnFormula>
    </tableColumn>
    <tableColumn id="18" xr3:uid="{AA5A23D2-948F-4491-9B12-CBEC9B8B7D5F}" name="70111700" dataDxfId="523" totalsRowDxfId="522"/>
    <tableColumn id="19" xr3:uid="{33A87A56-DB9B-4098-A146-EAA03BD7B29B}" name="70141600" dataDxfId="521" totalsRowDxfId="520"/>
    <tableColumn id="20" xr3:uid="{F23ACD62-F8F3-4B9E-B4BC-27304E095C63}" name="72102100" dataDxfId="519" totalsRowDxfId="518"/>
    <tableColumn id="30" xr3:uid="{FB72CD77-5A16-4C45-B2A1-7B664973C79D}" name="72154000" dataDxfId="517" totalsRowDxfId="516"/>
    <tableColumn id="28" xr3:uid="{1FD311AC-0D4E-4DC6-8A27-EF301AFF139D}" name="76101500" dataDxfId="515" totalsRowDxfId="514"/>
    <tableColumn id="29" xr3:uid="{F995EC7A-DDD0-4A9C-8745-90D076174ECC}" name="78141600" dataDxfId="513" totalsRowDxfId="512"/>
    <tableColumn id="16" xr3:uid="{8AD5BF42-0BA9-4C36-B233-0CC2FF43680E}" name="Desinfección" dataDxfId="511" totalsRowDxfId="510"/>
    <tableColumn id="11" xr3:uid="{87A6C51B-D186-4A3E-81E8-BB50683EFB46}" name="Fumigación" dataDxfId="509" totalsRowDxfId="508"/>
    <tableColumn id="13" xr3:uid="{0D23E9C5-C595-4456-B7E6-E0B4057379FF}" name="Termonebulización" dataDxfId="507" totalsRowDxfId="506"/>
    <tableColumn id="24" xr3:uid="{F39D600B-164E-4360-A00E-740E568EA7AC}" name="FORMATO EXPERIENCIA HABILITANTE DEL PROPONENTE" dataDxfId="505" totalsRowDxfId="504"/>
    <tableColumn id="27" xr3:uid="{61CF3712-6C99-4894-9FB6-DD71D045136C}" name="RESULTADO_x000a_CUMPLE / NO CUMPLE" dataDxfId="503" totalsRowDxfId="502"/>
    <tableColumn id="17" xr3:uid="{FDA0E9FC-DFD0-437A-9EB5-C897DB5F215F}" name="OBSERVACIONES" dataDxfId="501" totalsRowDxfId="500"/>
  </tableColumns>
  <tableStyleInfo name="TableStyleLight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1BCC45A-9FA9-4C19-BEC5-E737A6F25F51}" name="Tabla256835" displayName="Tabla256835" ref="B23:AE26" totalsRowShown="0" headerRowDxfId="499" dataDxfId="497" headerRowBorderDxfId="498" tableBorderDxfId="496" totalsRowBorderDxfId="495">
  <autoFilter ref="B23:AE26" xr:uid="{00000000-0009-0000-0100-000007000000}"/>
  <tableColumns count="30">
    <tableColumn id="1" xr3:uid="{4B7E62F1-0001-4795-968B-C213FF05F0D5}" name="No. " dataDxfId="494" totalsRowDxfId="493"/>
    <tableColumn id="2" xr3:uid="{09EFB4AB-45F6-4CC3-BADE-F216E5ECCBB6}" name="Entidad Contratante" dataDxfId="492" totalsRowDxfId="491"/>
    <tableColumn id="3" xr3:uid="{60CB39AC-7003-420A-B832-1898DA2D1BEE}" name="Contratista o Integrante que aporta experiencia" dataDxfId="490" totalsRowDxfId="489"/>
    <tableColumn id="14" xr3:uid="{8597D8E8-A2E3-4A28-AA99-BF39B958FB32}" name="No contrato" dataDxfId="488" totalsRowDxfId="487"/>
    <tableColumn id="21" xr3:uid="{35FA6E12-23D5-4D06-8848-01CAB37C13DC}" name="Certificación / Acta de Liquidación" totalsRowDxfId="486"/>
    <tableColumn id="4" xr3:uid="{C49CB6CF-A1E2-45F2-9C3D-50B1A076A852}" name="Objeto" dataDxfId="485" totalsRowDxfId="484"/>
    <tableColumn id="5" xr3:uid="{4EDC22C0-6949-47F4-A3C6-F857617E10E9}" name="Indivicual / Consorcio / UT" dataDxfId="483" totalsRowDxfId="482"/>
    <tableColumn id="6" xr3:uid="{229A49C9-A3EA-4864-A06A-ECDD5E9EAEF1}" name="% de Participacion" dataDxfId="481" totalsRowDxfId="480"/>
    <tableColumn id="10" xr3:uid="{171AB390-DB49-4772-98D4-360D271B1D7B}" name="Documento de _x000a_asociación" dataDxfId="479" totalsRowDxfId="478"/>
    <tableColumn id="7" xr3:uid="{057890FD-C707-4430-8EB4-D84B164A1EBC}" name="# Consecutivo RUP" dataDxfId="477" totalsRowDxfId="476"/>
    <tableColumn id="8" xr3:uid="{9304ED47-A43F-4664-8A0F-9F5700F2B5EA}" name="SMMLV RUP" dataDxfId="475" totalsRowDxfId="474"/>
    <tableColumn id="22" xr3:uid="{7695A544-CC6D-41EE-AFCA-D9C8FE42D469}" name="Fecha de Inicio" totalsRowDxfId="473"/>
    <tableColumn id="9" xr3:uid="{4A73FEC5-209B-45F6-BA2F-370DB46486C5}" name="Fecha de Terminacion" dataDxfId="472" totalsRowDxfId="471"/>
    <tableColumn id="26" xr3:uid="{C92A79D6-AAF6-446F-9E68-CB1710B2C53A}" name="Año de Terminación" dataDxfId="470" totalsRowDxfId="469" dataCellStyle="Millares">
      <calculatedColumnFormula>YEAR(Tabla256835[[#This Row],[Fecha de Terminacion]])</calculatedColumnFormula>
    </tableColumn>
    <tableColumn id="23" xr3:uid="{DA4CADCD-0C2D-4620-ABA3-3DE67CA4FDB4}" name="Total SMMLV * % Participación (RUP)" dataDxfId="468" totalsRowDxfId="467">
      <calculatedColumnFormula>+Tabla256835[[#This Row],[SMMLV RUP]]*Tabla256835[[#This Row],[% de Participacion]]</calculatedColumnFormula>
    </tableColumn>
    <tableColumn id="15" xr3:uid="{3F4F9C94-6699-42F5-B26D-89AD8A463CAF}" name="Valor Total Ejecutado del Contrato ($)" dataDxfId="466" totalsRowDxfId="465"/>
    <tableColumn id="12" xr3:uid="{24664319-F1C6-4A89-9821-9FC2C74FEAC4}" name="SMMLV AÑO DE TERMINACIÓN" dataDxfId="464" totalsRowDxfId="463">
      <calculatedColumnFormula>VLOOKUP(Tabla256835[[#This Row],[Año de Terminación]],Tabla36[[Año]:[Salario mínimo mensual]],3,0)</calculatedColumnFormula>
    </tableColumn>
    <tableColumn id="25" xr3:uid="{802EFB33-0587-4AB7-B8A5-0D0D5D4EB783}" name="Valor Total Ejecutado del Contrato expresado en SMMLV" dataDxfId="462" totalsRowDxfId="461">
      <calculatedColumnFormula>+Tabla256835[[#This Row],[Valor Total Ejecutado del Contrato ($)]]/Tabla256835[[#This Row],[SMMLV AÑO DE TERMINACIÓN]]*Tabla256835[[#This Row],[% de Participacion]]</calculatedColumnFormula>
    </tableColumn>
    <tableColumn id="18" xr3:uid="{489F790B-F58B-43DB-8246-835AD076017F}" name="70111700" dataDxfId="460" totalsRowDxfId="459"/>
    <tableColumn id="19" xr3:uid="{0DED950E-E59A-4C31-A8D0-E94E6E7F07C8}" name="70141600" dataDxfId="458" totalsRowDxfId="457"/>
    <tableColumn id="20" xr3:uid="{7B93141D-285D-446E-904A-FE2C0643455A}" name="72102100" dataDxfId="456" totalsRowDxfId="455"/>
    <tableColumn id="30" xr3:uid="{778EDEEF-7095-48A4-9A59-45CFCD71A29F}" name="72154000" dataDxfId="454" totalsRowDxfId="453"/>
    <tableColumn id="28" xr3:uid="{21161311-850E-4322-90CE-38A8B0E8CF9B}" name="76101500" dataDxfId="452" totalsRowDxfId="451"/>
    <tableColumn id="29" xr3:uid="{E0F0BE06-BD93-48B3-9CB6-DC8D1A53E4A8}" name="78141600" dataDxfId="450" totalsRowDxfId="449"/>
    <tableColumn id="16" xr3:uid="{FC48D2AB-6995-46DB-A97D-AE74C7D88614}" name="Desinfección" dataDxfId="448" totalsRowDxfId="447"/>
    <tableColumn id="11" xr3:uid="{9486B743-3061-4853-A142-35509906B009}" name="Fumigación" dataDxfId="446" totalsRowDxfId="445"/>
    <tableColumn id="13" xr3:uid="{045AABA0-A2BF-4F6E-A71E-8118CB90AA89}" name="Termonebulización" dataDxfId="444" totalsRowDxfId="443"/>
    <tableColumn id="24" xr3:uid="{2548FECF-AE83-48F7-8F62-A98B8F631584}" name="FORMATO EXPERIENCIA HABILITANTE DEL PROPONENTE" dataDxfId="442" totalsRowDxfId="441"/>
    <tableColumn id="27" xr3:uid="{7B27639B-693B-41F0-8CB0-BC061151C888}" name="RESULTADO_x000a_CUMPLE / NO CUMPLE" dataDxfId="440" totalsRowDxfId="439"/>
    <tableColumn id="17" xr3:uid="{41BA6940-5B27-411C-8C8F-E988F8BEE444}" name="OBSERVACIONES" dataDxfId="438" totalsRowDxfId="437"/>
  </tableColumns>
  <tableStyleInfo name="TableStyleLight1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5CC2008-870F-4697-B84F-E1CF5340153C}" name="Tabla2568356" displayName="Tabla2568356" ref="B23:AE26" totalsRowShown="0" headerRowDxfId="436" dataDxfId="434" headerRowBorderDxfId="435" tableBorderDxfId="433" totalsRowBorderDxfId="432">
  <autoFilter ref="B23:AE26" xr:uid="{00000000-0009-0000-0100-000007000000}"/>
  <tableColumns count="30">
    <tableColumn id="1" xr3:uid="{4F63AB0C-AEAD-491E-94CE-626003E78614}" name="No. " dataDxfId="431" totalsRowDxfId="430"/>
    <tableColumn id="2" xr3:uid="{AB2D2466-374C-4A45-9B0B-3B238389B5A1}" name="Entidad Contratante" dataDxfId="429" totalsRowDxfId="428"/>
    <tableColumn id="3" xr3:uid="{AF1AB11F-4C9C-46F3-A012-BCD39AF101F9}" name="Contratista o Integrante que aporta experiencia" dataDxfId="427" totalsRowDxfId="426"/>
    <tableColumn id="14" xr3:uid="{9E2E0237-8936-4AF3-9B05-D4B4EF21FEA2}" name="No contrato" dataDxfId="425" totalsRowDxfId="424"/>
    <tableColumn id="21" xr3:uid="{4BCAEBAC-21C7-4EAF-A654-00E69F8E3279}" name="Certificación / Acta de Liquidación" totalsRowDxfId="423"/>
    <tableColumn id="4" xr3:uid="{120396B9-BB97-4037-8DD8-E1703FFB843D}" name="Objeto" dataDxfId="422" totalsRowDxfId="421"/>
    <tableColumn id="5" xr3:uid="{C5A253A8-3705-4045-B0ED-27818ED8CF2B}" name="Indivicual / Consorcio / UT" dataDxfId="420" totalsRowDxfId="419"/>
    <tableColumn id="6" xr3:uid="{49F52250-CDCB-47F9-AE36-9B9F7CE7A6EB}" name="% de Participacion" dataDxfId="418" totalsRowDxfId="417"/>
    <tableColumn id="10" xr3:uid="{ACD4F187-8B40-4E8F-B10C-4F4FC7AA4E4B}" name="Documento de _x000a_asociación" dataDxfId="416" totalsRowDxfId="415"/>
    <tableColumn id="7" xr3:uid="{BCBAB593-2340-4624-BFA5-83792D073FCD}" name="# Consecutivo RUP" dataDxfId="414" totalsRowDxfId="413"/>
    <tableColumn id="8" xr3:uid="{216E5310-864B-4343-8C88-54019E856310}" name="SMMLV RUP" dataDxfId="412" totalsRowDxfId="411"/>
    <tableColumn id="22" xr3:uid="{35F4AF84-8726-433A-A709-A013A588C641}" name="Fecha de Inicio" totalsRowDxfId="410"/>
    <tableColumn id="9" xr3:uid="{4B69825B-FBE8-44CF-AD0F-78D3CC0A1466}" name="Fecha de Terminacion" dataDxfId="409" totalsRowDxfId="408"/>
    <tableColumn id="26" xr3:uid="{9521AFD9-42F7-4F53-A63D-6E93E59F420A}" name="Año de Terminación" dataDxfId="407" totalsRowDxfId="406" dataCellStyle="Millares">
      <calculatedColumnFormula>YEAR(Tabla2568356[[#This Row],[Fecha de Terminacion]])</calculatedColumnFormula>
    </tableColumn>
    <tableColumn id="23" xr3:uid="{A1C1F304-334E-4BFF-B625-6DEC6E9628A0}" name="Total SMMLV * % Participación (RUP)" dataDxfId="405" totalsRowDxfId="404">
      <calculatedColumnFormula>+Tabla2568356[[#This Row],[SMMLV RUP]]*Tabla2568356[[#This Row],[% de Participacion]]</calculatedColumnFormula>
    </tableColumn>
    <tableColumn id="15" xr3:uid="{021C34DB-4F5C-4C2C-AE76-BF35AAC2D989}" name="Valor Total Ejecutado del Contrato ($)" dataDxfId="403" totalsRowDxfId="402"/>
    <tableColumn id="12" xr3:uid="{DCB0A61C-CC7C-45D0-A485-1249E08BE96F}" name="SMMLV AÑO DE TERMINACIÓN" dataDxfId="401" totalsRowDxfId="400">
      <calculatedColumnFormula>VLOOKUP(Tabla2568356[[#This Row],[Año de Terminación]],Tabla36[[Año]:[Salario mínimo mensual]],3,0)</calculatedColumnFormula>
    </tableColumn>
    <tableColumn id="25" xr3:uid="{D19C9345-4EEA-4604-8F61-92D156BBC72C}" name="Valor Total Ejecutado del Contrato expresado en SMMLV" dataDxfId="399" totalsRowDxfId="398">
      <calculatedColumnFormula>+Tabla2568356[[#This Row],[Valor Total Ejecutado del Contrato ($)]]/Tabla2568356[[#This Row],[SMMLV AÑO DE TERMINACIÓN]]*Tabla2568356[[#This Row],[% de Participacion]]</calculatedColumnFormula>
    </tableColumn>
    <tableColumn id="18" xr3:uid="{3AE144EC-7EDC-471D-BEEA-2D6975285064}" name="70111700" dataDxfId="397" totalsRowDxfId="396"/>
    <tableColumn id="19" xr3:uid="{6A0728F9-86AB-40C0-81B6-B7DA25DA9F28}" name="70141600" dataDxfId="395" totalsRowDxfId="394"/>
    <tableColumn id="20" xr3:uid="{39687A48-A7D7-4BA8-AE21-D7E37B857E8E}" name="72102100" dataDxfId="393" totalsRowDxfId="392"/>
    <tableColumn id="30" xr3:uid="{59E3D232-8B7F-46CE-9ABC-D29A25DC0746}" name="72154000" dataDxfId="391" totalsRowDxfId="390"/>
    <tableColumn id="28" xr3:uid="{05C0E47C-C228-4D81-9AEF-7DD1832AD57D}" name="76101500" dataDxfId="389" totalsRowDxfId="388"/>
    <tableColumn id="29" xr3:uid="{C7952D2C-029C-4068-A320-D6AD7FA97D88}" name="78141600" dataDxfId="387" totalsRowDxfId="386"/>
    <tableColumn id="16" xr3:uid="{F2217FF9-2B7E-4304-AE8F-FB436E40C8F8}" name="Desinfección" dataDxfId="385" totalsRowDxfId="384"/>
    <tableColumn id="11" xr3:uid="{73CFD30F-874D-4BE3-BC5A-A0DB6170CECA}" name="Fumigación" dataDxfId="383" totalsRowDxfId="382"/>
    <tableColumn id="13" xr3:uid="{320BDF66-D8BC-4522-804B-F35202F5E763}" name="Termonebulización" dataDxfId="381" totalsRowDxfId="380"/>
    <tableColumn id="24" xr3:uid="{7BF83785-9C27-4A36-AF2B-F1D051E77412}" name="FORMATO EXPERIENCIA HABILITANTE DEL PROPONENTE" dataDxfId="379" totalsRowDxfId="378"/>
    <tableColumn id="27" xr3:uid="{8BD32EA0-DDB1-4D33-B5D4-84278868FF66}" name="RESULTADO_x000a_CUMPLE / NO CUMPLE" dataDxfId="377" totalsRowDxfId="376"/>
    <tableColumn id="17" xr3:uid="{4EA929BA-34E9-43B1-82CD-DC3D8CA48F30}" name="OBSERVACIONES" dataDxfId="375" totalsRowDxfId="374"/>
  </tableColumns>
  <tableStyleInfo name="TableStyleLight1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4EBEF41-637D-48BB-9A27-48B64600501F}" name="Tabla25683579101112" displayName="Tabla25683579101112" ref="B23:AE26" totalsRowShown="0" headerRowDxfId="373" dataDxfId="371" headerRowBorderDxfId="372" tableBorderDxfId="370" totalsRowBorderDxfId="369">
  <autoFilter ref="B23:AE26" xr:uid="{00000000-0009-0000-0100-000007000000}"/>
  <tableColumns count="30">
    <tableColumn id="1" xr3:uid="{F8CB5A8F-1BAC-411A-B46A-95EC5FD3C5F5}" name="No. " dataDxfId="368" totalsRowDxfId="367"/>
    <tableColumn id="2" xr3:uid="{E546BB4E-1183-423F-8661-76FB8F425CF9}" name="Entidad Contratante" dataDxfId="366" totalsRowDxfId="365"/>
    <tableColumn id="3" xr3:uid="{7B93C209-5A85-4920-9EB4-4DF845067B76}" name="Contratista o Integrante que aporta experiencia" dataDxfId="364" totalsRowDxfId="363"/>
    <tableColumn id="14" xr3:uid="{55DCF50C-5D32-4602-922A-D6889CF506BB}" name="No contrato" dataDxfId="362" totalsRowDxfId="361"/>
    <tableColumn id="21" xr3:uid="{5690D2C4-D591-4CB4-A881-6F07813E407A}" name="Certificación / Acta de Liquidación" dataDxfId="360" totalsRowDxfId="359"/>
    <tableColumn id="4" xr3:uid="{9E1D2F4C-0692-44C0-B8F2-04C3EC69C32A}" name="Objeto" dataDxfId="358" totalsRowDxfId="357"/>
    <tableColumn id="5" xr3:uid="{CEF60FF9-BEC8-4E2C-AE78-0F7775A5E891}" name="Indivicual / Consorcio / UT" dataDxfId="356" totalsRowDxfId="355"/>
    <tableColumn id="6" xr3:uid="{55C51AE9-FBB0-4FEF-8AB1-7EFA43774AD0}" name="% de Participacion" dataDxfId="354" totalsRowDxfId="353"/>
    <tableColumn id="10" xr3:uid="{05903C8E-945A-4A99-9C33-8CB47C300A99}" name="Documento de _x000a_asociación" dataDxfId="352" totalsRowDxfId="351"/>
    <tableColumn id="7" xr3:uid="{16249E94-61E5-43E4-9D0E-6FABE84E2788}" name="# Consecutivo RUP" dataDxfId="350" totalsRowDxfId="349"/>
    <tableColumn id="8" xr3:uid="{99B8F3E5-8A3D-4032-B273-43CB401FB37B}" name="SMMLV RUP" dataDxfId="348" totalsRowDxfId="347"/>
    <tableColumn id="22" xr3:uid="{03DA1089-69A4-416B-9AFD-C1B6455E542B}" name="Fecha de Inicio" totalsRowDxfId="346"/>
    <tableColumn id="9" xr3:uid="{4EF4DADB-CA0C-48F9-9455-3D55ED2EE3C1}" name="Fecha de Terminacion" dataDxfId="345" totalsRowDxfId="344"/>
    <tableColumn id="26" xr3:uid="{017403C3-19E9-472E-AD3F-A7F9FFFED0E2}" name="Año de Terminación" dataDxfId="343" totalsRowDxfId="342" dataCellStyle="Millares">
      <calculatedColumnFormula>YEAR(Tabla25683579101112[[#This Row],[Fecha de Terminacion]])</calculatedColumnFormula>
    </tableColumn>
    <tableColumn id="23" xr3:uid="{F9352553-B5B8-4968-87D1-BEFC102DBF0A}" name="Total SMMLV * % Participación (RUP)" dataDxfId="341" totalsRowDxfId="340">
      <calculatedColumnFormula>+Tabla25683579101112[[#This Row],[SMMLV RUP]]*Tabla25683579101112[[#This Row],[% de Participacion]]</calculatedColumnFormula>
    </tableColumn>
    <tableColumn id="15" xr3:uid="{229C17A5-6B91-4AA6-9B37-0D522AC687B4}" name="Valor Total Ejecutado del Contrato ($)" dataDxfId="339" totalsRowDxfId="338"/>
    <tableColumn id="12" xr3:uid="{FD70C7B6-4AB4-4631-9613-8282B9D87D35}" name="SMMLV AÑO DE TERMINACIÓN" dataDxfId="337" totalsRowDxfId="336">
      <calculatedColumnFormula>VLOOKUP(Tabla25683579101112[[#This Row],[Año de Terminación]],Tabla36[[Año]:[Salario mínimo mensual]],3,0)</calculatedColumnFormula>
    </tableColumn>
    <tableColumn id="25" xr3:uid="{64838DBA-4F32-4F1E-AB08-71396AF94C7B}" name="Valor Total Ejecutado del Contrato expresado en SMMLV" dataDxfId="335" totalsRowDxfId="334">
      <calculatedColumnFormula>+Tabla25683579101112[[#This Row],[Valor Total Ejecutado del Contrato ($)]]/Tabla25683579101112[[#This Row],[SMMLV AÑO DE TERMINACIÓN]]*Tabla25683579101112[[#This Row],[% de Participacion]]</calculatedColumnFormula>
    </tableColumn>
    <tableColumn id="18" xr3:uid="{30D3B75D-2394-4953-B1B9-64151B926848}" name="70111700" dataDxfId="333" totalsRowDxfId="332"/>
    <tableColumn id="19" xr3:uid="{92CCB03E-D327-424C-B27C-33170D67F545}" name="70141600" dataDxfId="331" totalsRowDxfId="330"/>
    <tableColumn id="20" xr3:uid="{F8CC7684-EB87-428F-B7C6-F8F7DDC026A4}" name="72102100" dataDxfId="329" totalsRowDxfId="328"/>
    <tableColumn id="30" xr3:uid="{C7268A2E-FE97-4934-A1BB-1AA535AB2D15}" name="72154000" dataDxfId="327" totalsRowDxfId="326"/>
    <tableColumn id="28" xr3:uid="{B561B616-2A13-442A-BBA2-97D78019163F}" name="76101500" dataDxfId="325" totalsRowDxfId="324"/>
    <tableColumn id="29" xr3:uid="{280E83C6-50D7-4224-BF8F-8747785DFEE9}" name="78141600" dataDxfId="323" totalsRowDxfId="322"/>
    <tableColumn id="16" xr3:uid="{92D18DF8-7C3A-43EE-B42D-8854CAE1287A}" name="Desinfección" dataDxfId="321" totalsRowDxfId="320"/>
    <tableColumn id="11" xr3:uid="{56EDAA23-EA8D-467A-9956-730F4EF8D64A}" name="Fumigación" dataDxfId="319" totalsRowDxfId="318"/>
    <tableColumn id="13" xr3:uid="{BA4347C8-B0F8-4569-8340-827B4D88B151}" name="Termonebulización" dataDxfId="317" totalsRowDxfId="316"/>
    <tableColumn id="24" xr3:uid="{20DA2D57-C07E-4CE6-A130-B65AAB595146}" name="FORMATO EXPERIENCIA HABILITANTE DEL PROPONENTE" dataDxfId="315" totalsRowDxfId="314"/>
    <tableColumn id="27" xr3:uid="{B59C4D86-0F7F-4477-BED0-D66A6F991214}" name="RESULTADO_x000a_CUMPLE / NO CUMPLE" dataDxfId="313" totalsRowDxfId="312"/>
    <tableColumn id="17" xr3:uid="{03C43E26-A26A-4066-8C77-C11BD82B4240}" name="OBSERVACIONES" dataDxfId="311" totalsRowDxfId="310"/>
  </tableColumns>
  <tableStyleInfo name="TableStyleLight1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Tabla2568" displayName="Tabla2568" ref="B23:AE26" totalsRowShown="0" headerRowDxfId="309" dataDxfId="307" headerRowBorderDxfId="308" tableBorderDxfId="306" totalsRowBorderDxfId="305">
  <autoFilter ref="B23:AE26" xr:uid="{00000000-0009-0000-0100-000007000000}"/>
  <tableColumns count="30">
    <tableColumn id="1" xr3:uid="{00000000-0010-0000-0000-000001000000}" name="No. " dataDxfId="304" totalsRowDxfId="303"/>
    <tableColumn id="2" xr3:uid="{00000000-0010-0000-0000-000002000000}" name="Entidad Contratante" dataDxfId="302" totalsRowDxfId="301"/>
    <tableColumn id="3" xr3:uid="{00000000-0010-0000-0000-000003000000}" name="Contratista o Integrante que aporta experiencia" dataDxfId="300" totalsRowDxfId="299"/>
    <tableColumn id="14" xr3:uid="{00000000-0010-0000-0000-00000E000000}" name="No contrato" dataDxfId="298" totalsRowDxfId="297"/>
    <tableColumn id="21" xr3:uid="{00000000-0010-0000-0000-000015000000}" name="Certificación / Acta de Liquidación" totalsRowDxfId="296"/>
    <tableColumn id="4" xr3:uid="{00000000-0010-0000-0000-000004000000}" name="Objeto" dataDxfId="295" totalsRowDxfId="294"/>
    <tableColumn id="5" xr3:uid="{00000000-0010-0000-0000-000005000000}" name="Indivicual / Consorcio / UT" dataDxfId="293" totalsRowDxfId="292"/>
    <tableColumn id="6" xr3:uid="{00000000-0010-0000-0000-000006000000}" name="% de Participacion" dataDxfId="291" totalsRowDxfId="290"/>
    <tableColumn id="10" xr3:uid="{00000000-0010-0000-0000-00000A000000}" name="Documento de _x000a_asociación" dataDxfId="289" totalsRowDxfId="288"/>
    <tableColumn id="7" xr3:uid="{00000000-0010-0000-0000-000007000000}" name="# Consecutivo RUP" dataDxfId="287" totalsRowDxfId="286"/>
    <tableColumn id="8" xr3:uid="{00000000-0010-0000-0000-000008000000}" name="SMMLV RUP" dataDxfId="285" totalsRowDxfId="284"/>
    <tableColumn id="22" xr3:uid="{00000000-0010-0000-0000-000016000000}" name="Fecha de Inicio" totalsRowDxfId="283"/>
    <tableColumn id="9" xr3:uid="{00000000-0010-0000-0000-000009000000}" name="Fecha de Terminacion" dataDxfId="282" totalsRowDxfId="281"/>
    <tableColumn id="26" xr3:uid="{00000000-0010-0000-0000-00001A000000}" name="Año de Terminación" dataDxfId="280" totalsRowDxfId="279" dataCellStyle="Millares">
      <calculatedColumnFormula>YEAR(Tabla2568[[#This Row],[Fecha de Terminacion]])</calculatedColumnFormula>
    </tableColumn>
    <tableColumn id="23" xr3:uid="{00000000-0010-0000-0000-000017000000}" name="Total SMMLV * % Participación (RUP)" dataDxfId="278" totalsRowDxfId="277">
      <calculatedColumnFormula>+Tabla2568[[#This Row],[SMMLV RUP]]*Tabla2568[[#This Row],[% de Participacion]]</calculatedColumnFormula>
    </tableColumn>
    <tableColumn id="15" xr3:uid="{00000000-0010-0000-0000-00000F000000}" name="Valor Total Ejecutado del Contrato ($)" dataDxfId="276" totalsRowDxfId="275"/>
    <tableColumn id="12" xr3:uid="{00000000-0010-0000-0000-00000C000000}" name="SMMLV AÑO DE TERMINACIÓN" dataDxfId="274" totalsRowDxfId="273">
      <calculatedColumnFormula>VLOOKUP(Tabla2568[[#This Row],[Año de Terminación]],Tabla36[[Año]:[Salario mínimo mensual]],3,0)</calculatedColumnFormula>
    </tableColumn>
    <tableColumn id="25" xr3:uid="{00000000-0010-0000-0000-000019000000}" name="Valor Total Ejecutado del Contrato expresado en SMMLV" dataDxfId="272" totalsRowDxfId="271">
      <calculatedColumnFormula>+Tabla2568[[#This Row],[Valor Total Ejecutado del Contrato ($)]]/Tabla2568[[#This Row],[SMMLV AÑO DE TERMINACIÓN]]*Tabla2568[[#This Row],[% de Participacion]]</calculatedColumnFormula>
    </tableColumn>
    <tableColumn id="18" xr3:uid="{00000000-0010-0000-0000-000012000000}" name="70111700" dataDxfId="270" totalsRowDxfId="269"/>
    <tableColumn id="19" xr3:uid="{00000000-0010-0000-0000-000013000000}" name="70141600" dataDxfId="268" totalsRowDxfId="267"/>
    <tableColumn id="20" xr3:uid="{00000000-0010-0000-0000-000014000000}" name="72102100" dataDxfId="266" totalsRowDxfId="265"/>
    <tableColumn id="30" xr3:uid="{F54DF39F-5CEB-4A4F-AC5B-FA67C66D551E}" name="72154000" dataDxfId="264" totalsRowDxfId="263"/>
    <tableColumn id="28" xr3:uid="{00000000-0010-0000-0000-00001C000000}" name="76101500" dataDxfId="262" totalsRowDxfId="261"/>
    <tableColumn id="29" xr3:uid="{00000000-0010-0000-0000-00001D000000}" name="78141600" dataDxfId="260" totalsRowDxfId="259"/>
    <tableColumn id="16" xr3:uid="{00000000-0010-0000-0000-000010000000}" name="Desinfección" dataDxfId="258" totalsRowDxfId="257"/>
    <tableColumn id="11" xr3:uid="{00000000-0010-0000-0000-00000B000000}" name="Fumigación" dataDxfId="256" totalsRowDxfId="255"/>
    <tableColumn id="13" xr3:uid="{00000000-0010-0000-0000-00000D000000}" name="Termonebulización" dataDxfId="254" totalsRowDxfId="253"/>
    <tableColumn id="24" xr3:uid="{00000000-0010-0000-0000-000018000000}" name="FORMATO EXPERIENCIA HABILITANTE DEL PROPONENTE" dataDxfId="252" totalsRowDxfId="251"/>
    <tableColumn id="27" xr3:uid="{00000000-0010-0000-0000-00001B000000}" name="RESULTADO_x000a_CUMPLE / NO CUMPLE" dataDxfId="250" totalsRowDxfId="249"/>
    <tableColumn id="17" xr3:uid="{00000000-0010-0000-0000-000011000000}" name="OBSERVACIONES" dataDxfId="248" totalsRowDxfId="247"/>
  </tableColumns>
  <tableStyleInfo name="TableStyleLight1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0008D1E-CE08-4C1A-BB0B-33E344FCD481}" name="Tabla2568357" displayName="Tabla2568357" ref="B23:AE26" totalsRowShown="0" headerRowDxfId="246" dataDxfId="244" headerRowBorderDxfId="245" tableBorderDxfId="243" totalsRowBorderDxfId="242">
  <autoFilter ref="B23:AE26" xr:uid="{00000000-0009-0000-0100-000007000000}"/>
  <tableColumns count="30">
    <tableColumn id="1" xr3:uid="{D9B611AC-2E22-43AB-A2AE-E5FBA0AD6C23}" name="No. " dataDxfId="241" totalsRowDxfId="240"/>
    <tableColumn id="2" xr3:uid="{623962A5-43B4-4696-8545-3555AAD87533}" name="Entidad Contratante" dataDxfId="239" totalsRowDxfId="238"/>
    <tableColumn id="3" xr3:uid="{BF93B546-2C45-460A-8BEA-080FB792CDBE}" name="Contratista o Integrante que aporta experiencia" dataDxfId="237" totalsRowDxfId="236"/>
    <tableColumn id="14" xr3:uid="{DCCF8140-3C67-49E5-A7DF-6C9516BC514E}" name="No contrato" dataDxfId="235" totalsRowDxfId="234"/>
    <tableColumn id="21" xr3:uid="{E9FD68CC-A45D-4475-9A0F-4598DF40F369}" name="Certificación / Acta de Liquidación" totalsRowDxfId="233"/>
    <tableColumn id="4" xr3:uid="{F7DE8C62-CDBB-40EA-A75C-A9A5AF47C283}" name="Objeto" dataDxfId="232" totalsRowDxfId="231"/>
    <tableColumn id="5" xr3:uid="{7C747841-A10C-4317-9D0A-938A4CB473AF}" name="Indivicual / Consorcio / UT" dataDxfId="230" totalsRowDxfId="229"/>
    <tableColumn id="6" xr3:uid="{A2C5E165-FFAD-4825-8118-B8E1B0598270}" name="% de Participacion" dataDxfId="228" totalsRowDxfId="227"/>
    <tableColumn id="10" xr3:uid="{AC6077EB-6963-41B3-9789-7CB618C46A00}" name="Documento de _x000a_asociación" dataDxfId="226" totalsRowDxfId="225"/>
    <tableColumn id="7" xr3:uid="{4EA21EAC-7CBB-426F-A070-C4E602F2AC79}" name="# Consecutivo RUP" dataDxfId="224" totalsRowDxfId="223"/>
    <tableColumn id="8" xr3:uid="{48A8ACA1-14FA-4AAD-94C0-F2ECF22654A5}" name="SMMLV RUP" dataDxfId="222" totalsRowDxfId="221"/>
    <tableColumn id="22" xr3:uid="{F3C98801-F098-48D2-8B93-684F0958C3AA}" name="Fecha de Inicio" totalsRowDxfId="220"/>
    <tableColumn id="9" xr3:uid="{0413F511-3248-42E0-B119-9C68835CB55D}" name="Fecha de Terminacion" dataDxfId="219" totalsRowDxfId="218"/>
    <tableColumn id="26" xr3:uid="{3BDA8CC7-E70A-42ED-8D60-24C585BEC199}" name="Año de Terminación" dataDxfId="217" totalsRowDxfId="216" dataCellStyle="Millares">
      <calculatedColumnFormula>YEAR(Tabla2568357[[#This Row],[Fecha de Terminacion]])</calculatedColumnFormula>
    </tableColumn>
    <tableColumn id="23" xr3:uid="{F559F382-1226-4546-9351-0834CA7ECC9C}" name="Total SMMLV * % Participación (RUP)" dataDxfId="215" totalsRowDxfId="214">
      <calculatedColumnFormula>+Tabla2568357[[#This Row],[SMMLV RUP]]*Tabla2568357[[#This Row],[% de Participacion]]</calculatedColumnFormula>
    </tableColumn>
    <tableColumn id="15" xr3:uid="{2DF5A100-6852-449F-8490-54C5AFEC2641}" name="Valor Total Ejecutado del Contrato ($)" dataDxfId="213" totalsRowDxfId="212"/>
    <tableColumn id="12" xr3:uid="{B8CF1486-76DA-435B-A9AC-97F91BF90D8A}" name="SMMLV AÑO DE TERMINACIÓN" dataDxfId="211" totalsRowDxfId="210">
      <calculatedColumnFormula>VLOOKUP(Tabla2568357[[#This Row],[Año de Terminación]],Tabla36[[Año]:[Salario mínimo mensual]],3,0)</calculatedColumnFormula>
    </tableColumn>
    <tableColumn id="25" xr3:uid="{9AD2508B-EC64-47A7-8EB6-B3F18141084D}" name="Valor Total Ejecutado del Contrato expresado en SMMLV" dataDxfId="209" totalsRowDxfId="208">
      <calculatedColumnFormula>+Tabla2568357[[#This Row],[Valor Total Ejecutado del Contrato ($)]]/Tabla2568357[[#This Row],[SMMLV AÑO DE TERMINACIÓN]]*Tabla2568357[[#This Row],[% de Participacion]]</calculatedColumnFormula>
    </tableColumn>
    <tableColumn id="18" xr3:uid="{A7AB2608-F9D6-4381-A422-D3C140CEC64D}" name="70111700" dataDxfId="207" totalsRowDxfId="206"/>
    <tableColumn id="19" xr3:uid="{DAED1E0B-9F5C-4FC5-9108-83DE8A513924}" name="70141600" dataDxfId="205" totalsRowDxfId="204"/>
    <tableColumn id="20" xr3:uid="{5F2612ED-10C0-4097-A474-4CBD4AFA504E}" name="72102100" dataDxfId="203" totalsRowDxfId="202"/>
    <tableColumn id="30" xr3:uid="{ABA4D57E-F62B-4554-96A3-ABB2CE604A1C}" name="72154000" dataDxfId="201" totalsRowDxfId="200"/>
    <tableColumn id="28" xr3:uid="{874F77EE-6BC8-4EE5-B2BC-3FD0FCC3B775}" name="76101500" dataDxfId="199" totalsRowDxfId="198"/>
    <tableColumn id="29" xr3:uid="{65F43D14-2175-423E-B3D3-8D6D15822BCC}" name="78141600" dataDxfId="197" totalsRowDxfId="196"/>
    <tableColumn id="16" xr3:uid="{19A0C506-D9AC-47EC-A8D1-883F5E5E4398}" name="Desinfección" dataDxfId="195" totalsRowDxfId="194"/>
    <tableColumn id="11" xr3:uid="{BEF96EA9-EF27-4486-8E2C-33D49610FCF1}" name="Fumigación" dataDxfId="193" totalsRowDxfId="192"/>
    <tableColumn id="13" xr3:uid="{BE40E2E7-A7BE-42EF-A5C1-8B0DB01A7933}" name="Termonebulización" dataDxfId="191" totalsRowDxfId="190"/>
    <tableColumn id="24" xr3:uid="{40E4F20F-A344-430F-B7AE-A0119E37E988}" name="FORMATO EXPERIENCIA HABILITANTE DEL PROPONENTE" dataDxfId="189" totalsRowDxfId="188"/>
    <tableColumn id="27" xr3:uid="{450F474A-5574-475F-9405-A61A3912ECF7}" name="RESULTADO_x000a_CUMPLE / NO CUMPLE" dataDxfId="187" totalsRowDxfId="186"/>
    <tableColumn id="17" xr3:uid="{EEFF9FBD-554D-4B66-853B-89976DF6300F}" name="OBSERVACIONES" dataDxfId="185" totalsRowDxfId="184"/>
  </tableColumns>
  <tableStyleInfo name="TableStyleLight13"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2ED0677-2E9B-4676-80DB-5553C9AEF0A7}" name="Tabla25683" displayName="Tabla25683" ref="B23:AE26" totalsRowShown="0" headerRowDxfId="183" dataDxfId="181" headerRowBorderDxfId="182" tableBorderDxfId="180" totalsRowBorderDxfId="179">
  <autoFilter ref="B23:AE26" xr:uid="{00000000-0009-0000-0100-000007000000}"/>
  <tableColumns count="30">
    <tableColumn id="1" xr3:uid="{6420EDF4-6DC4-4371-A303-27D269C09771}" name="No. " dataDxfId="178" totalsRowDxfId="177"/>
    <tableColumn id="2" xr3:uid="{B64B4DE2-24F7-4F4D-9617-9BBDF0E4F26C}" name="Entidad Contratante" dataDxfId="176" totalsRowDxfId="175"/>
    <tableColumn id="3" xr3:uid="{E942652E-48D1-4C5D-8122-82E6191FD3B4}" name="Contratista o Integrante que aporta experiencia" dataDxfId="174" totalsRowDxfId="173"/>
    <tableColumn id="14" xr3:uid="{238E1C73-845A-4BE0-A387-C301A77209B7}" name="No contrato" dataDxfId="172" totalsRowDxfId="171"/>
    <tableColumn id="21" xr3:uid="{3C8CA670-35D3-46D2-B03D-8CF3A1DC1EA7}" name="Certificación / Acta de Liquidación" totalsRowDxfId="170"/>
    <tableColumn id="4" xr3:uid="{26A5842A-5F3F-4E53-BF40-B61A622D5512}" name="Objeto" dataDxfId="169" totalsRowDxfId="168"/>
    <tableColumn id="5" xr3:uid="{EEFBEBE4-EF39-4C76-B4D4-4F7B8AACE506}" name="Indivicual / Consorcio / UT" dataDxfId="167" totalsRowDxfId="166"/>
    <tableColumn id="6" xr3:uid="{6DA149A5-8C30-4213-97EF-834507B89AC4}" name="% de Participacion" dataDxfId="165" totalsRowDxfId="164"/>
    <tableColumn id="10" xr3:uid="{A3869F7F-A498-4E75-9433-6F60164C8155}" name="Documento de _x000a_asociación" dataDxfId="163" totalsRowDxfId="162"/>
    <tableColumn id="7" xr3:uid="{97113097-069E-4CCC-A99F-64A9D7154218}" name="# Consecutivo RUP" dataDxfId="161" totalsRowDxfId="160"/>
    <tableColumn id="8" xr3:uid="{2B69BED5-B9E0-41A6-ADAF-5C1C6D4A49FF}" name="SMMLV RUP" dataDxfId="159" totalsRowDxfId="158"/>
    <tableColumn id="22" xr3:uid="{B10B5E62-013E-4CF1-A05F-2708EDA47A22}" name="Fecha de Inicio" totalsRowDxfId="157"/>
    <tableColumn id="9" xr3:uid="{ADCC11E0-3E88-4950-839B-95381C565BEA}" name="Fecha de Terminacion" dataDxfId="156" totalsRowDxfId="155"/>
    <tableColumn id="26" xr3:uid="{28FBC138-909E-4D39-AD15-76E1A164B74E}" name="Año de Terminación" dataDxfId="154" totalsRowDxfId="153" dataCellStyle="Millares">
      <calculatedColumnFormula>YEAR(Tabla25683[[#This Row],[Fecha de Terminacion]])</calculatedColumnFormula>
    </tableColumn>
    <tableColumn id="23" xr3:uid="{1CA96044-15CD-48B7-9C70-6F9F300D9996}" name="Total SMMLV * % Participación (RUP)" dataDxfId="152" totalsRowDxfId="151">
      <calculatedColumnFormula>+Tabla25683[[#This Row],[SMMLV RUP]]*Tabla25683[[#This Row],[% de Participacion]]</calculatedColumnFormula>
    </tableColumn>
    <tableColumn id="15" xr3:uid="{1CBC29BF-05EB-4A50-9629-9AD57256BEF7}" name="Valor Total Ejecutado del Contrato ($)" dataDxfId="150" totalsRowDxfId="149"/>
    <tableColumn id="12" xr3:uid="{D0C7F230-A4ED-479E-8CD2-EA01D0830202}" name="SMMLV AÑO DE TERMINACIÓN" dataDxfId="148" totalsRowDxfId="147">
      <calculatedColumnFormula>VLOOKUP(Tabla25683[[#This Row],[Año de Terminación]],Tabla36[[Año]:[Salario mínimo mensual]],3,0)</calculatedColumnFormula>
    </tableColumn>
    <tableColumn id="25" xr3:uid="{63B1CABF-16FA-4C53-8BA9-91EF3FD9A3E6}" name="Valor Total Ejecutado del Contrato expresado en SMMLV" dataDxfId="146" totalsRowDxfId="145">
      <calculatedColumnFormula>+Tabla25683[[#This Row],[Valor Total Ejecutado del Contrato ($)]]/Tabla25683[[#This Row],[SMMLV AÑO DE TERMINACIÓN]]*Tabla25683[[#This Row],[% de Participacion]]</calculatedColumnFormula>
    </tableColumn>
    <tableColumn id="18" xr3:uid="{1B303A67-61AC-4794-B8F3-C4A6DBC90A85}" name="70111700" dataDxfId="144" totalsRowDxfId="143"/>
    <tableColumn id="19" xr3:uid="{F35FF26A-6283-4632-B65C-330FED90AE0B}" name="70141600" dataDxfId="142" totalsRowDxfId="141"/>
    <tableColumn id="20" xr3:uid="{83681F49-BE50-445A-BF56-B593030462C7}" name="72102100" dataDxfId="140" totalsRowDxfId="139"/>
    <tableColumn id="30" xr3:uid="{8DB49796-D342-40FB-A636-36274360AB62}" name="72154000" dataDxfId="138" totalsRowDxfId="137"/>
    <tableColumn id="28" xr3:uid="{7CD53E28-B9F7-439A-9F4A-D4FA51667621}" name="76101500" dataDxfId="136" totalsRowDxfId="135"/>
    <tableColumn id="29" xr3:uid="{BBA0A84F-88E1-4BD3-9AEA-B58CCFFB97BA}" name="78141600" dataDxfId="134" totalsRowDxfId="133"/>
    <tableColumn id="16" xr3:uid="{C84E90A0-05FD-4263-83D9-2686FC76B5A6}" name="Desinfección" dataDxfId="132" totalsRowDxfId="131"/>
    <tableColumn id="11" xr3:uid="{C7F81804-DECD-45BE-AEB1-1BFADA12A88C}" name="Fumigación" dataDxfId="130" totalsRowDxfId="129"/>
    <tableColumn id="13" xr3:uid="{5559B05C-FEBE-42E6-953D-2A88EE5F751C}" name="Termonebulización" dataDxfId="128" totalsRowDxfId="127"/>
    <tableColumn id="24" xr3:uid="{4FADAC6D-1E71-4A5D-BBB2-253525B42CD3}" name="FORMATO EXPERIENCIA HABILITANTE DEL PROPONENTE" dataDxfId="126" totalsRowDxfId="125"/>
    <tableColumn id="27" xr3:uid="{8AFF3AB0-EF4C-4A7C-B08A-C5185AA76DE3}" name="RESULTADO_x000a_CUMPLE / NO CUMPLE" dataDxfId="124" totalsRowDxfId="123"/>
    <tableColumn id="17" xr3:uid="{231230A1-6E3A-47FB-BA5C-A111810F915B}" name="OBSERVACIONES" dataDxfId="122" totalsRowDxfId="121"/>
  </tableColumns>
  <tableStyleInfo name="TableStyleLight13"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C2A01AE-1F42-49F2-92E1-C9798501DF02}" name="Tabla256835791011" displayName="Tabla256835791011" ref="B23:AE26" totalsRowShown="0" headerRowDxfId="120" dataDxfId="118" headerRowBorderDxfId="119" tableBorderDxfId="117" totalsRowBorderDxfId="116">
  <autoFilter ref="B23:AE26" xr:uid="{00000000-0009-0000-0100-000007000000}"/>
  <tableColumns count="30">
    <tableColumn id="1" xr3:uid="{A70C6074-81C9-4E25-8A67-F7972E400C88}" name="No. " dataDxfId="115" totalsRowDxfId="114"/>
    <tableColumn id="2" xr3:uid="{F54EA56A-F615-4BB4-80F4-534F756F4C69}" name="Entidad Contratante" dataDxfId="113" totalsRowDxfId="112"/>
    <tableColumn id="3" xr3:uid="{A75B20DA-6192-4323-9F48-4E627F10A15E}" name="Contratista o Integrante que aporta experiencia" dataDxfId="111" totalsRowDxfId="110"/>
    <tableColumn id="14" xr3:uid="{FF1C722E-4E5F-4D85-9B16-7A621D2718A4}" name="No contrato" dataDxfId="109" totalsRowDxfId="108"/>
    <tableColumn id="21" xr3:uid="{002CFEAB-A33A-4240-86DF-5205ABC79121}" name="Certificación / Acta de Liquidación" dataDxfId="107" totalsRowDxfId="106"/>
    <tableColumn id="4" xr3:uid="{81905892-2561-4A10-892B-2397F78606A3}" name="Objeto" dataDxfId="105" totalsRowDxfId="104"/>
    <tableColumn id="5" xr3:uid="{6FEE7785-3742-46FC-93A6-8B3EE8A92A02}" name="Indivicual / Consorcio / UT" dataDxfId="103" totalsRowDxfId="102"/>
    <tableColumn id="6" xr3:uid="{34157B95-EB20-4D4C-9F26-FC737F121467}" name="% de Participacion" dataDxfId="101" totalsRowDxfId="100"/>
    <tableColumn id="10" xr3:uid="{06EF9246-5994-4074-A54B-2422171A9C5F}" name="Documento de _x000a_asociación" dataDxfId="99" totalsRowDxfId="98"/>
    <tableColumn id="7" xr3:uid="{A999E060-A9E6-40B0-896A-BD0E4098F93E}" name="# Consecutivo RUP" dataDxfId="97" totalsRowDxfId="96"/>
    <tableColumn id="8" xr3:uid="{A4722F17-FE22-419A-9D21-2496D49EF91F}" name="SMMLV RUP" dataDxfId="95" totalsRowDxfId="94"/>
    <tableColumn id="22" xr3:uid="{398F51AF-0B51-4CFD-9E06-6FA986DA8099}" name="Fecha de Inicio" totalsRowDxfId="93"/>
    <tableColumn id="9" xr3:uid="{C18CFC57-7B52-4331-AF8E-72B85411884E}" name="Fecha de Terminacion" dataDxfId="92" totalsRowDxfId="91"/>
    <tableColumn id="26" xr3:uid="{DD02DD3F-7BF8-4BA3-9DEA-7760D623B246}" name="Año de Terminación" dataDxfId="90" totalsRowDxfId="89" dataCellStyle="Millares">
      <calculatedColumnFormula>YEAR(Tabla256835791011[[#This Row],[Fecha de Terminacion]])</calculatedColumnFormula>
    </tableColumn>
    <tableColumn id="23" xr3:uid="{A2BABF88-0795-4C8E-8156-C9D9E344A60B}" name="Total SMMLV * % Participación (RUP)" dataDxfId="88" totalsRowDxfId="87">
      <calculatedColumnFormula>+Tabla256835791011[[#This Row],[SMMLV RUP]]*Tabla256835791011[[#This Row],[% de Participacion]]</calculatedColumnFormula>
    </tableColumn>
    <tableColumn id="15" xr3:uid="{ADC0D949-2AFE-4AAA-9B6D-C633B86C0AA8}" name="Valor Total Ejecutado del Contrato ($)" dataDxfId="86" totalsRowDxfId="85"/>
    <tableColumn id="12" xr3:uid="{29FA4EC1-6629-4247-AB7C-B6AF3534187F}" name="SMMLV AÑO DE TERMINACIÓN" dataDxfId="84" totalsRowDxfId="83">
      <calculatedColumnFormula>VLOOKUP(Tabla256835791011[[#This Row],[Año de Terminación]],Tabla36[[Año]:[Salario mínimo mensual]],3,0)</calculatedColumnFormula>
    </tableColumn>
    <tableColumn id="25" xr3:uid="{E817973F-609C-4A56-9F2D-39381C858144}" name="Valor Total Ejecutado del Contrato expresado en SMMLV" dataDxfId="82" totalsRowDxfId="81">
      <calculatedColumnFormula>+Tabla256835791011[[#This Row],[Valor Total Ejecutado del Contrato ($)]]/Tabla256835791011[[#This Row],[SMMLV AÑO DE TERMINACIÓN]]*Tabla256835791011[[#This Row],[% de Participacion]]</calculatedColumnFormula>
    </tableColumn>
    <tableColumn id="18" xr3:uid="{2DFC1ECB-5E19-42CA-B544-BEA205992389}" name="70111700" dataDxfId="80" totalsRowDxfId="79"/>
    <tableColumn id="19" xr3:uid="{5DF18C1B-DC7C-4C72-BECC-12D61FAAC6F8}" name="70141600" dataDxfId="78" totalsRowDxfId="77"/>
    <tableColumn id="20" xr3:uid="{447A18E3-7411-4BFE-BF29-3539339352E7}" name="72102100" dataDxfId="76" totalsRowDxfId="75"/>
    <tableColumn id="30" xr3:uid="{46A2448B-04F1-4FF9-B9D3-28B7DF6EADF8}" name="72154000" dataDxfId="74" totalsRowDxfId="73"/>
    <tableColumn id="28" xr3:uid="{9E11EC19-E753-48AC-8A77-7B5933896030}" name="76101500" dataDxfId="72" totalsRowDxfId="71"/>
    <tableColumn id="29" xr3:uid="{E2490588-776E-4E6D-AD40-1357127577E1}" name="78141600" dataDxfId="70" totalsRowDxfId="69"/>
    <tableColumn id="16" xr3:uid="{6399ACEB-8339-4D06-88D7-325767526BFC}" name="Desinfección" dataDxfId="68" totalsRowDxfId="67"/>
    <tableColumn id="11" xr3:uid="{2EB8DA86-08B2-405D-A904-96437C7EB864}" name="Fumigación" dataDxfId="66" totalsRowDxfId="65"/>
    <tableColumn id="13" xr3:uid="{A5F0E4BB-F32E-499E-AD50-6C2D28DC10B3}" name="Termonebulización" dataDxfId="64" totalsRowDxfId="63"/>
    <tableColumn id="24" xr3:uid="{AD9B6AE7-7390-445F-ABE5-77519A6FF80D}" name="FORMATO EXPERIENCIA HABILITANTE DEL PROPONENTE" dataDxfId="62" totalsRowDxfId="61"/>
    <tableColumn id="27" xr3:uid="{30762280-4192-48DF-A84B-1306E1940802}" name="RESULTADO_x000a_CUMPLE / NO CUMPLE" dataDxfId="60" totalsRowDxfId="59"/>
    <tableColumn id="17" xr3:uid="{1C8E121C-77CA-4D4F-AEE9-3148F7B4A3BF}" name="OBSERVACIONES" dataDxfId="58" totalsRowDxfId="57"/>
  </tableColumns>
  <tableStyleInfo name="TableStyleLight13"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36" displayName="Tabla36" ref="A8:C50" totalsRowShown="0" headerRowDxfId="56" dataDxfId="55" tableBorderDxfId="54">
  <autoFilter ref="A8:C50" xr:uid="{00000000-0009-0000-0100-000001000000}"/>
  <sortState xmlns:xlrd2="http://schemas.microsoft.com/office/spreadsheetml/2017/richdata2" ref="A9:E46">
    <sortCondition ref="A8:A46"/>
  </sortState>
  <tableColumns count="3">
    <tableColumn id="1" xr3:uid="{00000000-0010-0000-0100-000001000000}" name="Año" dataDxfId="53"/>
    <tableColumn id="2" xr3:uid="{00000000-0010-0000-0100-000002000000}" name="Salario mínimo diario" dataDxfId="52"/>
    <tableColumn id="3" xr3:uid="{00000000-0010-0000-0100-000003000000}" name="Salario mínimo mensual" dataDxfId="51"/>
  </tableColumns>
  <tableStyleInfo name="TableStyleLight13"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3000000}" name="Tabla24" displayName="Tabla24" ref="B27:Z30" totalsRowShown="0" headerRowDxfId="50" dataDxfId="48" headerRowBorderDxfId="49" tableBorderDxfId="47" totalsRowBorderDxfId="46">
  <autoFilter ref="B27:Z30" xr:uid="{00000000-0009-0000-0100-000003000000}"/>
  <tableColumns count="25">
    <tableColumn id="1" xr3:uid="{00000000-0010-0000-1300-000001000000}" name="No. " dataDxfId="45" totalsRowDxfId="44">
      <calculatedColumnFormula>B27+1</calculatedColumnFormula>
    </tableColumn>
    <tableColumn id="2" xr3:uid="{00000000-0010-0000-1300-000002000000}" name="Entidad Contratante" dataDxfId="43" totalsRowDxfId="42"/>
    <tableColumn id="3" xr3:uid="{00000000-0010-0000-1300-000003000000}" name="Contratista o Integrante que aporta experiencia" dataDxfId="41" totalsRowDxfId="40"/>
    <tableColumn id="14" xr3:uid="{00000000-0010-0000-1300-00000E000000}" name="No contrato" dataDxfId="39" totalsRowDxfId="38"/>
    <tableColumn id="21" xr3:uid="{00000000-0010-0000-1300-000015000000}" name="Certificación / Acta de Liquidación" totalsRowDxfId="37"/>
    <tableColumn id="4" xr3:uid="{00000000-0010-0000-1300-000004000000}" name="Objeto" dataDxfId="36" totalsRowDxfId="35"/>
    <tableColumn id="5" xr3:uid="{00000000-0010-0000-1300-000005000000}" name="Indivicual / Consorcio / UT" dataDxfId="34" totalsRowDxfId="33"/>
    <tableColumn id="6" xr3:uid="{00000000-0010-0000-1300-000006000000}" name="% de Participacion" dataDxfId="32" totalsRowDxfId="31"/>
    <tableColumn id="10" xr3:uid="{00000000-0010-0000-1300-00000A000000}" name="Documento de _x000a_asociación" dataDxfId="30" totalsRowDxfId="29"/>
    <tableColumn id="7" xr3:uid="{00000000-0010-0000-1300-000007000000}" name="# Consecutivo RUP" dataDxfId="28" totalsRowDxfId="27"/>
    <tableColumn id="8" xr3:uid="{00000000-0010-0000-1300-000008000000}" name="SMMLV RUP" dataDxfId="26" totalsRowDxfId="25"/>
    <tableColumn id="22" xr3:uid="{00000000-0010-0000-1300-000016000000}" name="Fecha de Inicio" totalsRowDxfId="24"/>
    <tableColumn id="9" xr3:uid="{00000000-0010-0000-1300-000009000000}" name="Fecha de Terminacion" dataDxfId="23" totalsRowDxfId="22"/>
    <tableColumn id="26" xr3:uid="{00000000-0010-0000-1300-00001A000000}" name="Año de Terminación" dataDxfId="21" totalsRowDxfId="20" dataCellStyle="Millares">
      <calculatedColumnFormula>YEAR(Tabla24[[#This Row],[Fecha de Terminacion]])</calculatedColumnFormula>
    </tableColumn>
    <tableColumn id="23" xr3:uid="{00000000-0010-0000-1300-000017000000}" name="Total SMMLV * % Participación (RUP)" dataDxfId="19" totalsRowDxfId="18">
      <calculatedColumnFormula>+Tabla24[[#This Row],[SMMLV RUP]]*Tabla24[[#This Row],[% de Participacion]]</calculatedColumnFormula>
    </tableColumn>
    <tableColumn id="15" xr3:uid="{00000000-0010-0000-1300-00000F000000}" name="Valor Total Ejecutado del Contrato ($)" dataDxfId="17" totalsRowDxfId="16"/>
    <tableColumn id="12" xr3:uid="{00000000-0010-0000-1300-00000C000000}" name="SMMLV AÑO DE TERMINACIÓN" dataDxfId="15" totalsRowDxfId="14">
      <calculatedColumnFormula>VLOOKUP(Tabla24[[#This Row],[Año de Terminación]],Tabla36[[Año]:[Salario mínimo mensual]],3,0)</calculatedColumnFormula>
    </tableColumn>
    <tableColumn id="25" xr3:uid="{00000000-0010-0000-1300-000019000000}" name="Valor Total Ejecutado del Contrato expresado en SMMLV" dataDxfId="13" totalsRowDxfId="12">
      <calculatedColumnFormula>+Tabla24[[#This Row],[Valor Total Ejecutado del Contrato ($)]]/Tabla24[[#This Row],[SMMLV AÑO DE TERMINACIÓN]]*Tabla24[[#This Row],[% de Participacion]]</calculatedColumnFormula>
    </tableColumn>
    <tableColumn id="19" xr3:uid="{00000000-0010-0000-1300-000013000000}" name="46171600" totalsRowDxfId="11"/>
    <tableColumn id="18" xr3:uid="{00000000-0010-0000-1300-000012000000}" name="92121500" dataDxfId="10" totalsRowDxfId="9"/>
    <tableColumn id="17" xr3:uid="{00000000-0010-0000-1300-000011000000}" name="92121700" dataDxfId="8" totalsRowDxfId="7"/>
    <tableColumn id="16" xr3:uid="{00000000-0010-0000-1300-000010000000}" name="Seguridad privada en la modalidad fija y móvil, con y sin arma de fuego, con medios de apoyo tecnológicos" dataDxfId="6" totalsRowDxfId="5"/>
    <tableColumn id="20" xr3:uid="{00000000-0010-0000-1300-000014000000}" name="1 Contrato con Prestación de los servicios en mínimo 8 departamentos" totalsRowDxfId="4"/>
    <tableColumn id="24" xr3:uid="{00000000-0010-0000-1300-000018000000}" name="APORTA FORMATO DE RELACIÓN DE EXPERIENCIA" dataDxfId="3" totalsRowDxfId="2"/>
    <tableColumn id="13" xr3:uid="{00000000-0010-0000-1300-00000D000000}" name="OBSERVACIONES" dataDxfId="1" totalsRowDxfId="0"/>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printerSettings" Target="../printerSettings/printerSettings12.bin"/><Relationship Id="rId1" Type="http://schemas.openxmlformats.org/officeDocument/2006/relationships/hyperlink" Target="http://www.presidencia.gov.co/" TargetMode="External"/></Relationships>
</file>

<file path=xl/worksheets/_rels/sheet13.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21"/>
  <sheetViews>
    <sheetView tabSelected="1" workbookViewId="0">
      <selection activeCell="B18" sqref="B18"/>
    </sheetView>
  </sheetViews>
  <sheetFormatPr baseColWidth="10" defaultColWidth="11.42578125" defaultRowHeight="15" x14ac:dyDescent="0.25"/>
  <cols>
    <col min="1" max="1" width="9.7109375" style="40" customWidth="1"/>
    <col min="2" max="2" width="45.85546875" style="40" bestFit="1" customWidth="1"/>
    <col min="3" max="3" width="12.140625" style="40" bestFit="1" customWidth="1"/>
    <col min="4" max="4" width="14.85546875" style="40" bestFit="1" customWidth="1"/>
    <col min="5" max="5" width="16.7109375" style="40" customWidth="1"/>
    <col min="6" max="6" width="15.7109375" style="40" customWidth="1"/>
    <col min="7" max="7" width="13.5703125" style="40" customWidth="1"/>
    <col min="8" max="8" width="13.7109375" style="40" customWidth="1"/>
    <col min="9" max="9" width="20.85546875" style="40" customWidth="1"/>
    <col min="10" max="10" width="31.7109375" style="40" customWidth="1"/>
    <col min="11" max="11" width="41.7109375" style="40" customWidth="1"/>
    <col min="12" max="16384" width="11.42578125" style="40"/>
  </cols>
  <sheetData>
    <row r="2" spans="1:10" ht="22.15" customHeight="1" x14ac:dyDescent="0.25">
      <c r="A2" s="174"/>
      <c r="B2" s="175"/>
      <c r="C2" s="172" t="s">
        <v>0</v>
      </c>
      <c r="D2" s="172"/>
      <c r="E2" s="172"/>
      <c r="F2" s="172"/>
      <c r="G2" s="172"/>
      <c r="H2" s="172"/>
      <c r="I2" s="172"/>
      <c r="J2" s="172"/>
    </row>
    <row r="3" spans="1:10" ht="22.15" customHeight="1" x14ac:dyDescent="0.25">
      <c r="A3" s="174"/>
      <c r="B3" s="175"/>
      <c r="C3" s="172" t="s">
        <v>1</v>
      </c>
      <c r="D3" s="172"/>
      <c r="E3" s="172"/>
      <c r="F3" s="172"/>
      <c r="G3" s="172"/>
      <c r="H3" s="172"/>
      <c r="I3" s="172"/>
      <c r="J3" s="172"/>
    </row>
    <row r="4" spans="1:10" ht="22.15" customHeight="1" x14ac:dyDescent="0.25">
      <c r="A4" s="174"/>
      <c r="B4" s="175"/>
      <c r="C4" s="173" t="s">
        <v>2</v>
      </c>
      <c r="D4" s="173"/>
      <c r="E4" s="173"/>
      <c r="F4" s="173"/>
      <c r="G4" s="173"/>
      <c r="H4" s="173"/>
      <c r="I4" s="173"/>
      <c r="J4" s="173"/>
    </row>
    <row r="5" spans="1:10" ht="17.45" customHeight="1" x14ac:dyDescent="0.25">
      <c r="A5" s="171" t="s">
        <v>3</v>
      </c>
      <c r="B5" s="171"/>
      <c r="C5" s="171"/>
      <c r="D5" s="171"/>
      <c r="E5" s="171"/>
      <c r="F5" s="171"/>
      <c r="G5" s="171"/>
      <c r="H5" s="171"/>
      <c r="I5" s="171"/>
      <c r="J5" s="171"/>
    </row>
    <row r="7" spans="1:10" s="144" customFormat="1" ht="30" x14ac:dyDescent="0.25">
      <c r="A7" s="141" t="s">
        <v>227</v>
      </c>
      <c r="B7" s="141" t="s">
        <v>4</v>
      </c>
      <c r="C7" s="142" t="s">
        <v>5</v>
      </c>
      <c r="D7" s="142" t="s">
        <v>6</v>
      </c>
      <c r="E7" s="142" t="s">
        <v>7</v>
      </c>
      <c r="F7" s="142" t="s">
        <v>8</v>
      </c>
      <c r="G7" s="142" t="s">
        <v>9</v>
      </c>
      <c r="H7" s="142" t="s">
        <v>10</v>
      </c>
      <c r="I7" s="142" t="s">
        <v>11</v>
      </c>
      <c r="J7" s="143" t="s">
        <v>12</v>
      </c>
    </row>
    <row r="8" spans="1:10" x14ac:dyDescent="0.25">
      <c r="A8" s="169">
        <v>1</v>
      </c>
      <c r="B8" s="165" t="s">
        <v>21</v>
      </c>
      <c r="C8" s="158" t="s">
        <v>14</v>
      </c>
      <c r="D8" s="155" t="s">
        <v>14</v>
      </c>
      <c r="E8" s="155" t="s">
        <v>15</v>
      </c>
      <c r="F8" s="155" t="s">
        <v>14</v>
      </c>
      <c r="G8" s="155" t="s">
        <v>15</v>
      </c>
      <c r="H8" s="155" t="s">
        <v>15</v>
      </c>
      <c r="I8" s="156" t="s">
        <v>14</v>
      </c>
      <c r="J8" s="157" t="s">
        <v>16</v>
      </c>
    </row>
    <row r="9" spans="1:10" x14ac:dyDescent="0.25">
      <c r="A9" s="169">
        <v>2</v>
      </c>
      <c r="B9" s="166" t="s">
        <v>22</v>
      </c>
      <c r="C9" s="127" t="s">
        <v>14</v>
      </c>
      <c r="D9" s="127" t="s">
        <v>14</v>
      </c>
      <c r="E9" s="127" t="s">
        <v>15</v>
      </c>
      <c r="F9" s="127" t="s">
        <v>14</v>
      </c>
      <c r="G9" s="127" t="s">
        <v>15</v>
      </c>
      <c r="H9" s="127" t="s">
        <v>15</v>
      </c>
      <c r="I9" s="122" t="s">
        <v>14</v>
      </c>
      <c r="J9" s="43" t="s">
        <v>16</v>
      </c>
    </row>
    <row r="10" spans="1:10" x14ac:dyDescent="0.25">
      <c r="A10" s="169">
        <v>3</v>
      </c>
      <c r="B10" s="167" t="s">
        <v>19</v>
      </c>
      <c r="C10" s="127" t="s">
        <v>14</v>
      </c>
      <c r="D10" s="127" t="s">
        <v>14</v>
      </c>
      <c r="E10" s="127" t="s">
        <v>15</v>
      </c>
      <c r="F10" s="127" t="s">
        <v>14</v>
      </c>
      <c r="G10" s="127" t="s">
        <v>14</v>
      </c>
      <c r="H10" s="127" t="s">
        <v>14</v>
      </c>
      <c r="I10" s="122" t="s">
        <v>14</v>
      </c>
      <c r="J10" s="43" t="s">
        <v>16</v>
      </c>
    </row>
    <row r="11" spans="1:10" x14ac:dyDescent="0.25">
      <c r="A11" s="169">
        <v>4</v>
      </c>
      <c r="B11" s="167" t="s">
        <v>13</v>
      </c>
      <c r="C11" s="127" t="s">
        <v>14</v>
      </c>
      <c r="D11" s="127" t="s">
        <v>15</v>
      </c>
      <c r="E11" s="127" t="s">
        <v>15</v>
      </c>
      <c r="F11" s="127" t="s">
        <v>15</v>
      </c>
      <c r="G11" s="127" t="s">
        <v>15</v>
      </c>
      <c r="H11" s="127" t="s">
        <v>15</v>
      </c>
      <c r="I11" s="122" t="s">
        <v>14</v>
      </c>
      <c r="J11" s="43" t="s">
        <v>16</v>
      </c>
    </row>
    <row r="12" spans="1:10" x14ac:dyDescent="0.25">
      <c r="A12" s="169">
        <v>5</v>
      </c>
      <c r="B12" s="167" t="s">
        <v>24</v>
      </c>
      <c r="C12" s="127" t="s">
        <v>14</v>
      </c>
      <c r="D12" s="127" t="s">
        <v>14</v>
      </c>
      <c r="E12" s="127" t="s">
        <v>15</v>
      </c>
      <c r="F12" s="127" t="s">
        <v>15</v>
      </c>
      <c r="G12" s="127" t="s">
        <v>15</v>
      </c>
      <c r="H12" s="127" t="s">
        <v>15</v>
      </c>
      <c r="I12" s="122" t="s">
        <v>14</v>
      </c>
      <c r="J12" s="43" t="s">
        <v>16</v>
      </c>
    </row>
    <row r="13" spans="1:10" x14ac:dyDescent="0.25">
      <c r="A13" s="169">
        <v>6</v>
      </c>
      <c r="B13" s="167" t="s">
        <v>17</v>
      </c>
      <c r="C13" s="127" t="s">
        <v>14</v>
      </c>
      <c r="D13" s="127" t="s">
        <v>14</v>
      </c>
      <c r="E13" s="127" t="s">
        <v>15</v>
      </c>
      <c r="F13" s="127" t="s">
        <v>14</v>
      </c>
      <c r="G13" s="127" t="s">
        <v>15</v>
      </c>
      <c r="H13" s="127" t="s">
        <v>15</v>
      </c>
      <c r="I13" s="122" t="s">
        <v>14</v>
      </c>
      <c r="J13" s="43" t="s">
        <v>16</v>
      </c>
    </row>
    <row r="14" spans="1:10" x14ac:dyDescent="0.25">
      <c r="A14" s="169">
        <v>7</v>
      </c>
      <c r="B14" s="168" t="s">
        <v>20</v>
      </c>
      <c r="C14" s="127" t="s">
        <v>15</v>
      </c>
      <c r="D14" s="127" t="s">
        <v>15</v>
      </c>
      <c r="E14" s="127" t="s">
        <v>15</v>
      </c>
      <c r="F14" s="127" t="s">
        <v>15</v>
      </c>
      <c r="G14" s="127" t="s">
        <v>15</v>
      </c>
      <c r="H14" s="127" t="s">
        <v>15</v>
      </c>
      <c r="I14" s="128" t="s">
        <v>15</v>
      </c>
      <c r="J14" s="43" t="s">
        <v>16</v>
      </c>
    </row>
    <row r="15" spans="1:10" x14ac:dyDescent="0.25">
      <c r="A15" s="169">
        <v>8</v>
      </c>
      <c r="B15" s="167" t="s">
        <v>23</v>
      </c>
      <c r="C15" s="127" t="s">
        <v>15</v>
      </c>
      <c r="D15" s="127" t="s">
        <v>14</v>
      </c>
      <c r="E15" s="127" t="s">
        <v>15</v>
      </c>
      <c r="F15" s="127" t="s">
        <v>14</v>
      </c>
      <c r="G15" s="127" t="s">
        <v>14</v>
      </c>
      <c r="H15" s="127" t="s">
        <v>15</v>
      </c>
      <c r="I15" s="122" t="s">
        <v>14</v>
      </c>
      <c r="J15" s="43" t="s">
        <v>16</v>
      </c>
    </row>
    <row r="16" spans="1:10" x14ac:dyDescent="0.25">
      <c r="A16" s="169">
        <v>9</v>
      </c>
      <c r="B16" s="167" t="s">
        <v>18</v>
      </c>
      <c r="C16" s="127" t="s">
        <v>14</v>
      </c>
      <c r="D16" s="127" t="s">
        <v>15</v>
      </c>
      <c r="E16" s="127" t="s">
        <v>15</v>
      </c>
      <c r="F16" s="127" t="s">
        <v>15</v>
      </c>
      <c r="G16" s="127" t="s">
        <v>15</v>
      </c>
      <c r="H16" s="127" t="s">
        <v>15</v>
      </c>
      <c r="I16" s="122" t="s">
        <v>14</v>
      </c>
      <c r="J16" s="43" t="s">
        <v>16</v>
      </c>
    </row>
    <row r="18" spans="2:2" ht="48.75" customHeight="1" x14ac:dyDescent="0.3">
      <c r="B18" s="170" t="e" vm="1">
        <v>#VALUE!</v>
      </c>
    </row>
    <row r="19" spans="2:2" x14ac:dyDescent="0.25">
      <c r="B19" s="40" t="s">
        <v>25</v>
      </c>
    </row>
    <row r="20" spans="2:2" x14ac:dyDescent="0.25">
      <c r="B20" s="40" t="s">
        <v>228</v>
      </c>
    </row>
    <row r="21" spans="2:2" x14ac:dyDescent="0.25">
      <c r="B21" s="113" t="s">
        <v>26</v>
      </c>
    </row>
  </sheetData>
  <sheetProtection algorithmName="SHA-512" hashValue="mcidqoeAzXsNyErIQll9RYYHrLH0h3b54ssJK+QWRzz3jGaZ+kXDwlFl/CmIz/BUZyWgQ2X2fsN5GkW8DZtCag==" saltValue="phecaQc9jcfwXrSSCeUC6g==" spinCount="100000" sheet="1" objects="1" scenarios="1"/>
  <mergeCells count="5">
    <mergeCell ref="A5:J5"/>
    <mergeCell ref="C2:J2"/>
    <mergeCell ref="C3:J3"/>
    <mergeCell ref="C4:J4"/>
    <mergeCell ref="A2:B4"/>
  </mergeCells>
  <pageMargins left="0.7" right="0.7" top="0.75" bottom="0.75" header="0.3" footer="0.3"/>
  <pageSetup scale="81"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FE6D8-8C18-46D3-B5E0-9F38AA04787B}">
  <dimension ref="B3:AE27"/>
  <sheetViews>
    <sheetView showGridLines="0" view="pageBreakPreview" topLeftCell="A20" zoomScale="70" zoomScaleNormal="70" zoomScaleSheetLayoutView="70" workbookViewId="0">
      <selection activeCell="AD15" sqref="AD15"/>
    </sheetView>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5" width="12.140625" style="4" customWidth="1"/>
    <col min="26" max="28" width="17.42578125" style="4" customWidth="1"/>
    <col min="29" max="29" width="19.85546875" style="4" customWidth="1"/>
    <col min="30" max="30" width="25.42578125" style="4" bestFit="1" customWidth="1"/>
    <col min="31" max="31" width="107.14062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160" t="e">
        <f>+S24+S25+S26</f>
        <v>#N/A</v>
      </c>
      <c r="E12" s="161" t="e">
        <f>IF(D12&gt;=D11,"CUMPLE","NO CUMPLE")</f>
        <v>#N/A</v>
      </c>
      <c r="F12" s="33"/>
    </row>
    <row r="13" spans="3:7" ht="30.75" customHeight="1" x14ac:dyDescent="0.25">
      <c r="C13" s="131" t="s">
        <v>34</v>
      </c>
      <c r="D13" s="182" t="s">
        <v>21</v>
      </c>
      <c r="E13" s="182"/>
      <c r="F13" s="8"/>
    </row>
    <row r="14" spans="3:7" ht="15.75" customHeight="1" x14ac:dyDescent="0.25">
      <c r="C14" s="131" t="s">
        <v>35</v>
      </c>
      <c r="D14" s="183">
        <f>+COUNT(B24,B25,B26)</f>
        <v>3</v>
      </c>
      <c r="E14" s="183"/>
      <c r="F14" s="8"/>
    </row>
    <row r="15" spans="3:7" ht="267.75" customHeight="1" x14ac:dyDescent="0.25">
      <c r="C15" s="131" t="s">
        <v>36</v>
      </c>
      <c r="D15" s="140" t="s">
        <v>104</v>
      </c>
      <c r="E15" s="123" t="s">
        <v>14</v>
      </c>
      <c r="F15" s="112"/>
    </row>
    <row r="16" spans="3:7" ht="30" x14ac:dyDescent="0.25">
      <c r="C16" s="131" t="s">
        <v>38</v>
      </c>
      <c r="D16" s="121" t="s">
        <v>37</v>
      </c>
      <c r="E16" s="7" t="s">
        <v>15</v>
      </c>
      <c r="F16" s="112"/>
    </row>
    <row r="17" spans="2:31" ht="93" customHeight="1" x14ac:dyDescent="0.25">
      <c r="C17" s="131" t="s">
        <v>39</v>
      </c>
      <c r="D17" s="121" t="s">
        <v>37</v>
      </c>
      <c r="E17" s="7" t="s">
        <v>15</v>
      </c>
      <c r="F17" s="112"/>
    </row>
    <row r="18" spans="2:31" ht="30" x14ac:dyDescent="0.25">
      <c r="C18" s="131" t="s">
        <v>40</v>
      </c>
      <c r="D18" s="121" t="s">
        <v>37</v>
      </c>
      <c r="E18" s="7" t="s">
        <v>15</v>
      </c>
      <c r="F18" s="33"/>
    </row>
    <row r="19" spans="2:31" ht="30" x14ac:dyDescent="0.25">
      <c r="C19" s="131" t="s">
        <v>41</v>
      </c>
      <c r="D19" s="140" t="s">
        <v>104</v>
      </c>
      <c r="E19" s="123" t="s">
        <v>14</v>
      </c>
      <c r="F19" s="33"/>
    </row>
    <row r="20" spans="2:31" ht="39" customHeight="1" x14ac:dyDescent="0.25">
      <c r="C20" s="131" t="s">
        <v>42</v>
      </c>
      <c r="D20" s="123" t="s">
        <v>14</v>
      </c>
      <c r="E20" s="176" t="s">
        <v>43</v>
      </c>
      <c r="F20" s="177"/>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303" customHeight="1" x14ac:dyDescent="0.25">
      <c r="B24" s="12">
        <v>1</v>
      </c>
      <c r="C24" s="13" t="s">
        <v>108</v>
      </c>
      <c r="D24" s="107" t="s">
        <v>21</v>
      </c>
      <c r="E24" s="13" t="s">
        <v>109</v>
      </c>
      <c r="F24" s="13" t="s">
        <v>110</v>
      </c>
      <c r="G24" s="14" t="s">
        <v>111</v>
      </c>
      <c r="H24" s="15" t="s">
        <v>78</v>
      </c>
      <c r="I24" s="16">
        <v>1</v>
      </c>
      <c r="J24" s="16" t="s">
        <v>79</v>
      </c>
      <c r="K24" s="17">
        <v>78</v>
      </c>
      <c r="L24" s="18">
        <v>117.73</v>
      </c>
      <c r="M24" s="19">
        <v>45201</v>
      </c>
      <c r="N24" s="19">
        <v>45442</v>
      </c>
      <c r="O24" s="77">
        <f>YEAR(Tabla25683579[[#This Row],[Fecha de Terminacion]])</f>
        <v>2024</v>
      </c>
      <c r="P24" s="21">
        <f>+Tabla25683579[[#This Row],[SMMLV RUP]]*Tabla25683579[[#This Row],[% de Participacion]]</f>
        <v>117.73</v>
      </c>
      <c r="Q24" s="111">
        <f>(102049981+51024990)-16806</f>
        <v>153058165</v>
      </c>
      <c r="R24" s="75">
        <f>VLOOKUP(Tabla25683579[[#This Row],[Año de Terminación]],Tabla36[[Año]:[Salario mínimo mensual]],3,0)</f>
        <v>1300000</v>
      </c>
      <c r="S24" s="75">
        <f>+Tabla25683579[[#This Row],[Valor Total Ejecutado del Contrato ($)]]/Tabla25683579[[#This Row],[SMMLV AÑO DE TERMINACIÓN]]*Tabla25683579[[#This Row],[% de Participacion]]</f>
        <v>117.73705</v>
      </c>
      <c r="T24" s="109" t="s">
        <v>79</v>
      </c>
      <c r="U24" s="109" t="s">
        <v>15</v>
      </c>
      <c r="V24" s="109" t="s">
        <v>15</v>
      </c>
      <c r="W24" s="109" t="s">
        <v>15</v>
      </c>
      <c r="X24" s="109" t="s">
        <v>15</v>
      </c>
      <c r="Y24" s="109" t="s">
        <v>15</v>
      </c>
      <c r="Z24" s="126" t="s">
        <v>14</v>
      </c>
      <c r="AA24" s="109" t="s">
        <v>15</v>
      </c>
      <c r="AB24" s="126" t="s">
        <v>14</v>
      </c>
      <c r="AC24" s="109" t="s">
        <v>15</v>
      </c>
      <c r="AD24" s="135" t="s">
        <v>14</v>
      </c>
      <c r="AE24" s="134" t="s">
        <v>112</v>
      </c>
    </row>
    <row r="25" spans="2:31" ht="121.5" customHeight="1" x14ac:dyDescent="0.25">
      <c r="B25" s="12">
        <v>2</v>
      </c>
      <c r="C25" s="13" t="s">
        <v>113</v>
      </c>
      <c r="D25" s="107" t="s">
        <v>21</v>
      </c>
      <c r="E25" s="13"/>
      <c r="F25" s="13"/>
      <c r="G25" s="14" t="s">
        <v>114</v>
      </c>
      <c r="H25" s="15" t="s">
        <v>78</v>
      </c>
      <c r="I25" s="16">
        <v>1</v>
      </c>
      <c r="J25" s="16" t="s">
        <v>79</v>
      </c>
      <c r="K25" s="107"/>
      <c r="L25" s="108"/>
      <c r="M25" s="19"/>
      <c r="N25" s="29"/>
      <c r="O25" s="159">
        <f>YEAR(Tabla25683579[[#This Row],[Fecha de Terminacion]])</f>
        <v>1900</v>
      </c>
      <c r="P25" s="108">
        <f>+Tabla25683579[[#This Row],[SMMLV RUP]]*Tabla25683579[[#This Row],[% de Participacion]]</f>
        <v>0</v>
      </c>
      <c r="Q25" s="20"/>
      <c r="R25" s="75" t="e">
        <f>VLOOKUP(Tabla25683579[[#This Row],[Año de Terminación]],Tabla36[[Año]:[Salario mínimo mensual]],3,0)</f>
        <v>#N/A</v>
      </c>
      <c r="S25" s="75" t="e">
        <f>+Tabla25683579[[#This Row],[Valor Total Ejecutado del Contrato ($)]]/Tabla25683579[[#This Row],[SMMLV AÑO DE TERMINACIÓN]]*Tabla25683579[[#This Row],[% de Participacion]]</f>
        <v>#N/A</v>
      </c>
      <c r="T25" s="109"/>
      <c r="U25" s="109"/>
      <c r="V25" s="109"/>
      <c r="W25" s="109"/>
      <c r="X25" s="109"/>
      <c r="Y25" s="109"/>
      <c r="Z25" s="126" t="s">
        <v>14</v>
      </c>
      <c r="AA25" s="109" t="s">
        <v>15</v>
      </c>
      <c r="AB25" s="126" t="s">
        <v>14</v>
      </c>
      <c r="AC25" s="109" t="s">
        <v>15</v>
      </c>
      <c r="AD25" s="135" t="s">
        <v>14</v>
      </c>
      <c r="AE25" s="134" t="s">
        <v>115</v>
      </c>
    </row>
    <row r="26" spans="2:31" ht="126" customHeight="1" x14ac:dyDescent="0.25">
      <c r="B26" s="23">
        <v>3</v>
      </c>
      <c r="C26" s="24" t="s">
        <v>113</v>
      </c>
      <c r="D26" s="107" t="s">
        <v>21</v>
      </c>
      <c r="E26" s="24"/>
      <c r="F26" s="13"/>
      <c r="G26" s="26" t="s">
        <v>116</v>
      </c>
      <c r="H26" s="15" t="s">
        <v>78</v>
      </c>
      <c r="I26" s="16">
        <v>1</v>
      </c>
      <c r="J26" s="16" t="s">
        <v>79</v>
      </c>
      <c r="K26" s="25"/>
      <c r="L26" s="28"/>
      <c r="M26" s="139"/>
      <c r="N26" s="29"/>
      <c r="O26" s="159">
        <f>YEAR(Tabla25683579[[#This Row],[Fecha de Terminacion]])</f>
        <v>1900</v>
      </c>
      <c r="P26" s="108">
        <f>+Tabla25683579[[#This Row],[SMMLV RUP]]*Tabla25683579[[#This Row],[% de Participacion]]</f>
        <v>0</v>
      </c>
      <c r="Q26" s="111"/>
      <c r="R26" s="75" t="e">
        <f>VLOOKUP(Tabla25683579[[#This Row],[Año de Terminación]],Tabla36[[Año]:[Salario mínimo mensual]],3,0)</f>
        <v>#N/A</v>
      </c>
      <c r="S26" s="75" t="e">
        <f>+Tabla25683579[[#This Row],[Valor Total Ejecutado del Contrato ($)]]/Tabla25683579[[#This Row],[SMMLV AÑO DE TERMINACIÓN]]*Tabla25683579[[#This Row],[% de Participacion]]</f>
        <v>#N/A</v>
      </c>
      <c r="T26" s="109"/>
      <c r="U26" s="109"/>
      <c r="V26" s="109"/>
      <c r="W26" s="109"/>
      <c r="X26" s="109"/>
      <c r="Y26" s="109"/>
      <c r="Z26" s="126" t="s">
        <v>14</v>
      </c>
      <c r="AA26" s="109" t="s">
        <v>15</v>
      </c>
      <c r="AB26" s="126" t="s">
        <v>14</v>
      </c>
      <c r="AC26" s="109" t="s">
        <v>15</v>
      </c>
      <c r="AD26" s="135" t="s">
        <v>14</v>
      </c>
      <c r="AE26" s="134" t="s">
        <v>115</v>
      </c>
    </row>
    <row r="27" spans="2:31" ht="126"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8" scale="13"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A624D-21D7-4C0F-B93C-7667CC876B41}">
  <dimension ref="B3:AE27"/>
  <sheetViews>
    <sheetView showGridLines="0" view="pageBreakPreview" topLeftCell="P22" zoomScale="70" zoomScaleNormal="70" zoomScaleSheetLayoutView="70" workbookViewId="0">
      <selection activeCell="AA27" sqref="AA27"/>
    </sheetView>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5" width="12.140625" style="4" customWidth="1"/>
    <col min="26" max="28" width="17.42578125" style="4" customWidth="1"/>
    <col min="29" max="29" width="20.28515625" style="4" customWidth="1"/>
    <col min="30" max="30" width="25.42578125" style="4" bestFit="1" customWidth="1"/>
    <col min="31" max="31" width="70.14062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82">
        <f>+S24+S25+S26</f>
        <v>118.48300473315678</v>
      </c>
      <c r="E12" s="110" t="str">
        <f>IF(D12&gt;=D11,"CUMPLE","NO CUMPLE")</f>
        <v>NO CUMPLE</v>
      </c>
      <c r="F12" s="33"/>
    </row>
    <row r="13" spans="3:7" x14ac:dyDescent="0.25">
      <c r="C13" s="131" t="s">
        <v>34</v>
      </c>
      <c r="D13" s="182" t="s">
        <v>22</v>
      </c>
      <c r="E13" s="182"/>
      <c r="F13" s="8"/>
    </row>
    <row r="14" spans="3:7" x14ac:dyDescent="0.25">
      <c r="C14" s="131" t="s">
        <v>35</v>
      </c>
      <c r="D14" s="183">
        <f>+COUNT(B24,B25,B26)</f>
        <v>3</v>
      </c>
      <c r="E14" s="183"/>
      <c r="F14" s="8"/>
    </row>
    <row r="15" spans="3:7" ht="267.75" customHeight="1" x14ac:dyDescent="0.25">
      <c r="C15" s="131" t="s">
        <v>36</v>
      </c>
      <c r="D15" s="140" t="s">
        <v>104</v>
      </c>
      <c r="E15" s="123" t="s">
        <v>14</v>
      </c>
      <c r="F15" s="112"/>
    </row>
    <row r="16" spans="3:7" ht="30" x14ac:dyDescent="0.25">
      <c r="C16" s="131" t="s">
        <v>38</v>
      </c>
      <c r="D16" s="121" t="s">
        <v>37</v>
      </c>
      <c r="E16" s="7" t="s">
        <v>15</v>
      </c>
      <c r="F16" s="112"/>
    </row>
    <row r="17" spans="2:31" ht="93" customHeight="1" x14ac:dyDescent="0.25">
      <c r="C17" s="131" t="s">
        <v>39</v>
      </c>
      <c r="D17" s="121" t="s">
        <v>37</v>
      </c>
      <c r="E17" s="7" t="s">
        <v>15</v>
      </c>
      <c r="F17" s="112"/>
    </row>
    <row r="18" spans="2:31" ht="30" x14ac:dyDescent="0.25">
      <c r="C18" s="131" t="s">
        <v>40</v>
      </c>
      <c r="D18" s="121" t="s">
        <v>37</v>
      </c>
      <c r="E18" s="7" t="s">
        <v>15</v>
      </c>
      <c r="F18" s="33"/>
    </row>
    <row r="19" spans="2:31" ht="30" x14ac:dyDescent="0.25">
      <c r="C19" s="131" t="s">
        <v>41</v>
      </c>
      <c r="D19" s="140" t="s">
        <v>104</v>
      </c>
      <c r="E19" s="123" t="s">
        <v>14</v>
      </c>
      <c r="F19" s="33"/>
    </row>
    <row r="20" spans="2:31" ht="39" customHeight="1" x14ac:dyDescent="0.25">
      <c r="C20" s="131" t="s">
        <v>42</v>
      </c>
      <c r="D20" s="123" t="s">
        <v>14</v>
      </c>
      <c r="E20" s="176" t="s">
        <v>43</v>
      </c>
      <c r="F20" s="177"/>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210" customHeight="1" x14ac:dyDescent="0.25">
      <c r="B24" s="12">
        <v>1</v>
      </c>
      <c r="C24" s="13" t="s">
        <v>216</v>
      </c>
      <c r="D24" s="107" t="s">
        <v>22</v>
      </c>
      <c r="E24" s="13" t="s">
        <v>217</v>
      </c>
      <c r="F24" s="13" t="s">
        <v>110</v>
      </c>
      <c r="G24" s="14" t="s">
        <v>218</v>
      </c>
      <c r="H24" s="15">
        <v>1</v>
      </c>
      <c r="I24" s="16">
        <v>1</v>
      </c>
      <c r="J24" s="16" t="s">
        <v>79</v>
      </c>
      <c r="K24" s="17">
        <v>16</v>
      </c>
      <c r="L24" s="18">
        <v>65.459999999999994</v>
      </c>
      <c r="M24" s="19">
        <v>44270</v>
      </c>
      <c r="N24" s="19">
        <v>44530</v>
      </c>
      <c r="O24" s="77">
        <f>YEAR(Tabla2568357910[[#This Row],[Fecha de Terminacion]])</f>
        <v>2021</v>
      </c>
      <c r="P24" s="21">
        <f>+Tabla2568357910[[#This Row],[SMMLV RUP]]*Tabla2568357910[[#This Row],[% de Participacion]]</f>
        <v>65.459999999999994</v>
      </c>
      <c r="Q24" s="111">
        <v>59476200</v>
      </c>
      <c r="R24" s="75">
        <f>VLOOKUP(Tabla2568357910[[#This Row],[Año de Terminación]],Tabla36[[Año]:[Salario mínimo mensual]],3,0)</f>
        <v>908526</v>
      </c>
      <c r="S24" s="75">
        <f>+Tabla2568357910[[#This Row],[Valor Total Ejecutado del Contrato ($)]]/Tabla2568357910[[#This Row],[SMMLV AÑO DE TERMINACIÓN]]*Tabla2568357910[[#This Row],[% de Participacion]]</f>
        <v>65.46449964007634</v>
      </c>
      <c r="T24" s="109" t="s">
        <v>15</v>
      </c>
      <c r="U24" s="109" t="s">
        <v>15</v>
      </c>
      <c r="V24" s="109" t="s">
        <v>15</v>
      </c>
      <c r="W24" s="109" t="s">
        <v>15</v>
      </c>
      <c r="X24" s="109" t="s">
        <v>15</v>
      </c>
      <c r="Y24" s="109" t="s">
        <v>15</v>
      </c>
      <c r="Z24" s="109" t="s">
        <v>15</v>
      </c>
      <c r="AA24" s="109" t="s">
        <v>81</v>
      </c>
      <c r="AB24" s="126" t="s">
        <v>14</v>
      </c>
      <c r="AC24" s="109" t="s">
        <v>15</v>
      </c>
      <c r="AD24" s="135" t="s">
        <v>14</v>
      </c>
      <c r="AE24" s="134" t="s">
        <v>219</v>
      </c>
    </row>
    <row r="25" spans="2:31" ht="210" customHeight="1" x14ac:dyDescent="0.25">
      <c r="B25" s="12">
        <v>2</v>
      </c>
      <c r="C25" s="13" t="s">
        <v>220</v>
      </c>
      <c r="D25" s="107" t="s">
        <v>22</v>
      </c>
      <c r="E25" s="13" t="s">
        <v>221</v>
      </c>
      <c r="F25" s="13" t="s">
        <v>93</v>
      </c>
      <c r="G25" s="14" t="s">
        <v>222</v>
      </c>
      <c r="H25" s="15">
        <v>1</v>
      </c>
      <c r="I25" s="16">
        <v>1</v>
      </c>
      <c r="J25" s="16" t="s">
        <v>79</v>
      </c>
      <c r="K25" s="107">
        <v>36</v>
      </c>
      <c r="L25" s="108">
        <v>84.73</v>
      </c>
      <c r="M25" s="19">
        <v>45048</v>
      </c>
      <c r="N25" s="19">
        <v>45413</v>
      </c>
      <c r="O25" s="77">
        <f>YEAR(Tabla2568357910[[#This Row],[Fecha de Terminacion]])</f>
        <v>2024</v>
      </c>
      <c r="P25" s="108">
        <f>+Tabla2568357910[[#This Row],[SMMLV RUP]]*Tabla2568357910[[#This Row],[% de Participacion]]</f>
        <v>84.73</v>
      </c>
      <c r="Q25" s="111"/>
      <c r="R25" s="75">
        <f>VLOOKUP(Tabla2568357910[[#This Row],[Año de Terminación]],Tabla36[[Año]:[Salario mínimo mensual]],3,0)</f>
        <v>1300000</v>
      </c>
      <c r="S25" s="75">
        <f>+Tabla2568357910[[#This Row],[Valor Total Ejecutado del Contrato ($)]]/Tabla2568357910[[#This Row],[SMMLV AÑO DE TERMINACIÓN]]*Tabla2568357910[[#This Row],[% de Participacion]]</f>
        <v>0</v>
      </c>
      <c r="T25" s="109" t="s">
        <v>15</v>
      </c>
      <c r="U25" s="109" t="s">
        <v>15</v>
      </c>
      <c r="V25" s="109" t="s">
        <v>15</v>
      </c>
      <c r="W25" s="109" t="s">
        <v>15</v>
      </c>
      <c r="X25" s="109" t="s">
        <v>15</v>
      </c>
      <c r="Y25" s="109" t="s">
        <v>15</v>
      </c>
      <c r="Z25" s="109" t="s">
        <v>81</v>
      </c>
      <c r="AA25" s="109" t="s">
        <v>15</v>
      </c>
      <c r="AB25" s="126" t="s">
        <v>14</v>
      </c>
      <c r="AC25" s="109" t="s">
        <v>15</v>
      </c>
      <c r="AD25" s="135" t="s">
        <v>14</v>
      </c>
      <c r="AE25" s="164" t="s">
        <v>223</v>
      </c>
    </row>
    <row r="26" spans="2:31" ht="210" customHeight="1" x14ac:dyDescent="0.25">
      <c r="B26" s="23">
        <v>3</v>
      </c>
      <c r="C26" s="24" t="s">
        <v>224</v>
      </c>
      <c r="D26" s="107" t="s">
        <v>22</v>
      </c>
      <c r="E26" s="24" t="s">
        <v>225</v>
      </c>
      <c r="F26" s="13" t="s">
        <v>93</v>
      </c>
      <c r="G26" s="26" t="s">
        <v>226</v>
      </c>
      <c r="H26" s="15">
        <v>1</v>
      </c>
      <c r="I26" s="16">
        <v>1</v>
      </c>
      <c r="J26" s="16" t="s">
        <v>79</v>
      </c>
      <c r="K26" s="25">
        <v>43</v>
      </c>
      <c r="L26" s="28">
        <v>53.01</v>
      </c>
      <c r="M26" s="19">
        <v>45782</v>
      </c>
      <c r="N26" s="29">
        <v>46006</v>
      </c>
      <c r="O26" s="77">
        <f>YEAR(Tabla2568357910[[#This Row],[Fecha de Terminacion]])</f>
        <v>2025</v>
      </c>
      <c r="P26" s="108">
        <f>+Tabla2568357910[[#This Row],[SMMLV RUP]]*Tabla2568357910[[#This Row],[% de Participacion]]</f>
        <v>53.01</v>
      </c>
      <c r="Q26" s="111">
        <v>75471842</v>
      </c>
      <c r="R26" s="75">
        <f>VLOOKUP(Tabla2568357910[[#This Row],[Año de Terminación]],Tabla36[[Año]:[Salario mínimo mensual]],3,0)</f>
        <v>1423500</v>
      </c>
      <c r="S26" s="75">
        <f>+Tabla2568357910[[#This Row],[Valor Total Ejecutado del Contrato ($)]]/Tabla2568357910[[#This Row],[SMMLV AÑO DE TERMINACIÓN]]*Tabla2568357910[[#This Row],[% de Participacion]]</f>
        <v>53.018505093080435</v>
      </c>
      <c r="T26" s="109" t="s">
        <v>15</v>
      </c>
      <c r="U26" s="109" t="s">
        <v>15</v>
      </c>
      <c r="V26" s="109" t="s">
        <v>15</v>
      </c>
      <c r="W26" s="109" t="s">
        <v>15</v>
      </c>
      <c r="X26" s="109" t="s">
        <v>15</v>
      </c>
      <c r="Y26" s="109" t="s">
        <v>15</v>
      </c>
      <c r="Z26" s="109" t="s">
        <v>15</v>
      </c>
      <c r="AA26" s="109" t="s">
        <v>15</v>
      </c>
      <c r="AB26" s="126" t="s">
        <v>14</v>
      </c>
      <c r="AC26" s="109" t="s">
        <v>15</v>
      </c>
      <c r="AD26" s="135" t="s">
        <v>14</v>
      </c>
      <c r="AE26" s="164" t="s">
        <v>223</v>
      </c>
    </row>
    <row r="27" spans="2:31" ht="210"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8" scale="14" orientation="landscape"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A16C3-12FA-4FB3-8077-418C8D88E782}">
  <dimension ref="B3:AE27"/>
  <sheetViews>
    <sheetView showGridLines="0" view="pageBreakPreview" topLeftCell="O10" zoomScale="70" zoomScaleNormal="70" zoomScaleSheetLayoutView="70" workbookViewId="0">
      <selection activeCell="D25" sqref="D25"/>
    </sheetView>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5" width="12.140625" style="4" customWidth="1"/>
    <col min="26" max="28" width="17.42578125" style="4" customWidth="1"/>
    <col min="29" max="29" width="19.28515625" style="4" customWidth="1"/>
    <col min="30" max="30" width="25.42578125" style="4" bestFit="1" customWidth="1"/>
    <col min="31" max="31" width="79.710937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124" t="e">
        <f>+S24</f>
        <v>#VALUE!</v>
      </c>
      <c r="E12" s="125" t="e">
        <f>IF(D12&gt;=D11,"CUMPLE","NO CUMPLE")</f>
        <v>#VALUE!</v>
      </c>
      <c r="F12" s="33"/>
    </row>
    <row r="13" spans="3:7" ht="30" customHeight="1" x14ac:dyDescent="0.25">
      <c r="C13" s="131" t="s">
        <v>34</v>
      </c>
      <c r="D13" s="182" t="s">
        <v>103</v>
      </c>
      <c r="E13" s="182"/>
      <c r="F13" s="8"/>
    </row>
    <row r="14" spans="3:7" x14ac:dyDescent="0.25">
      <c r="C14" s="131" t="s">
        <v>35</v>
      </c>
      <c r="D14" s="183">
        <f>+COUNT(B24,B25,B26)</f>
        <v>2</v>
      </c>
      <c r="E14" s="183"/>
      <c r="F14" s="8"/>
    </row>
    <row r="15" spans="3:7" ht="267.75" customHeight="1" x14ac:dyDescent="0.25">
      <c r="C15" s="131" t="s">
        <v>36</v>
      </c>
      <c r="D15" s="140" t="s">
        <v>104</v>
      </c>
      <c r="E15" s="123" t="s">
        <v>14</v>
      </c>
      <c r="F15" s="112"/>
    </row>
    <row r="16" spans="3:7" ht="30" x14ac:dyDescent="0.25">
      <c r="C16" s="131" t="s">
        <v>38</v>
      </c>
      <c r="D16" s="140" t="s">
        <v>104</v>
      </c>
      <c r="E16" s="123" t="s">
        <v>14</v>
      </c>
      <c r="F16" s="112"/>
    </row>
    <row r="17" spans="2:31" ht="93" customHeight="1" x14ac:dyDescent="0.25">
      <c r="C17" s="131" t="s">
        <v>39</v>
      </c>
      <c r="D17" s="140" t="s">
        <v>104</v>
      </c>
      <c r="E17" s="123" t="s">
        <v>14</v>
      </c>
      <c r="F17" s="112"/>
    </row>
    <row r="18" spans="2:31" ht="30" x14ac:dyDescent="0.25">
      <c r="C18" s="131" t="s">
        <v>40</v>
      </c>
      <c r="D18" s="121" t="s">
        <v>37</v>
      </c>
      <c r="E18" s="7" t="s">
        <v>15</v>
      </c>
      <c r="F18" s="33"/>
    </row>
    <row r="19" spans="2:31" ht="30" x14ac:dyDescent="0.25">
      <c r="C19" s="131" t="s">
        <v>41</v>
      </c>
      <c r="D19" s="140" t="s">
        <v>104</v>
      </c>
      <c r="E19" s="123" t="s">
        <v>14</v>
      </c>
      <c r="F19" s="33"/>
    </row>
    <row r="20" spans="2:31" ht="39" customHeight="1" x14ac:dyDescent="0.25">
      <c r="C20" s="131" t="s">
        <v>42</v>
      </c>
      <c r="D20" s="123" t="s">
        <v>14</v>
      </c>
      <c r="E20" s="176" t="s">
        <v>43</v>
      </c>
      <c r="F20" s="177"/>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246" customHeight="1" x14ac:dyDescent="0.25">
      <c r="B24" s="12">
        <v>1</v>
      </c>
      <c r="C24" s="13" t="s">
        <v>105</v>
      </c>
      <c r="D24" s="107" t="s">
        <v>19</v>
      </c>
      <c r="E24" s="13">
        <v>77</v>
      </c>
      <c r="F24" s="138" t="s">
        <v>14</v>
      </c>
      <c r="G24" s="14" t="s">
        <v>106</v>
      </c>
      <c r="H24" s="15" t="s">
        <v>78</v>
      </c>
      <c r="I24" s="16">
        <v>1</v>
      </c>
      <c r="J24" s="16" t="s">
        <v>79</v>
      </c>
      <c r="K24" s="17">
        <v>77</v>
      </c>
      <c r="L24" s="18"/>
      <c r="M24" s="139" t="s">
        <v>14</v>
      </c>
      <c r="N24" s="139" t="s">
        <v>14</v>
      </c>
      <c r="O24" s="77" t="e">
        <f>YEAR(Tabla256835[[#This Row],[Fecha de Terminacion]])</f>
        <v>#VALUE!</v>
      </c>
      <c r="P24" s="21">
        <f>+Tabla256835[[#This Row],[SMMLV RUP]]*Tabla256835[[#This Row],[% de Participacion]]</f>
        <v>0</v>
      </c>
      <c r="Q24" s="139" t="s">
        <v>14</v>
      </c>
      <c r="R24" s="75" t="e">
        <f>VLOOKUP(Tabla256835[[#This Row],[Año de Terminación]],Tabla36[[Año]:[Salario mínimo mensual]],3,0)</f>
        <v>#VALUE!</v>
      </c>
      <c r="S24" s="75" t="e">
        <f>+Tabla256835[[#This Row],[Valor Total Ejecutado del Contrato ($)]]/Tabla256835[[#This Row],[SMMLV AÑO DE TERMINACIÓN]]*Tabla256835[[#This Row],[% de Participacion]]</f>
        <v>#VALUE!</v>
      </c>
      <c r="T24" s="109"/>
      <c r="U24" s="109"/>
      <c r="V24" s="109"/>
      <c r="W24" s="109"/>
      <c r="X24" s="109"/>
      <c r="Y24" s="109"/>
      <c r="Z24" s="109" t="s">
        <v>15</v>
      </c>
      <c r="AA24" s="109" t="s">
        <v>15</v>
      </c>
      <c r="AB24" s="126" t="s">
        <v>14</v>
      </c>
      <c r="AC24" s="109" t="s">
        <v>15</v>
      </c>
      <c r="AD24" s="135" t="s">
        <v>14</v>
      </c>
      <c r="AE24" s="134" t="s">
        <v>107</v>
      </c>
    </row>
    <row r="25" spans="2:31" ht="246" customHeight="1" x14ac:dyDescent="0.25">
      <c r="B25" s="12">
        <v>2</v>
      </c>
      <c r="C25" s="13" t="s">
        <v>105</v>
      </c>
      <c r="D25" s="107" t="s">
        <v>19</v>
      </c>
      <c r="E25" s="13">
        <v>91</v>
      </c>
      <c r="F25" s="138" t="s">
        <v>14</v>
      </c>
      <c r="G25" s="14" t="s">
        <v>106</v>
      </c>
      <c r="H25" s="15" t="s">
        <v>78</v>
      </c>
      <c r="I25" s="16">
        <v>1</v>
      </c>
      <c r="J25" s="16" t="s">
        <v>79</v>
      </c>
      <c r="K25" s="107">
        <v>91</v>
      </c>
      <c r="L25" s="108"/>
      <c r="M25" s="139" t="s">
        <v>14</v>
      </c>
      <c r="N25" s="139" t="s">
        <v>14</v>
      </c>
      <c r="O25" s="77" t="e">
        <f>YEAR(Tabla256835[[#This Row],[Fecha de Terminacion]])</f>
        <v>#VALUE!</v>
      </c>
      <c r="P25" s="108">
        <f>+Tabla256835[[#This Row],[SMMLV RUP]]*Tabla256835[[#This Row],[% de Participacion]]</f>
        <v>0</v>
      </c>
      <c r="Q25" s="139" t="s">
        <v>14</v>
      </c>
      <c r="R25" s="75" t="e">
        <f>VLOOKUP(Tabla256835[[#This Row],[Año de Terminación]],Tabla36[[Año]:[Salario mínimo mensual]],3,0)</f>
        <v>#VALUE!</v>
      </c>
      <c r="S25" s="75" t="e">
        <f>+Tabla256835[[#This Row],[Valor Total Ejecutado del Contrato ($)]]/Tabla256835[[#This Row],[SMMLV AÑO DE TERMINACIÓN]]*Tabla256835[[#This Row],[% de Participacion]]</f>
        <v>#VALUE!</v>
      </c>
      <c r="T25" s="109"/>
      <c r="U25" s="109"/>
      <c r="V25" s="109"/>
      <c r="W25" s="109"/>
      <c r="X25" s="109"/>
      <c r="Y25" s="109"/>
      <c r="Z25" s="109" t="s">
        <v>15</v>
      </c>
      <c r="AA25" s="109" t="s">
        <v>15</v>
      </c>
      <c r="AB25" s="126" t="s">
        <v>14</v>
      </c>
      <c r="AC25" s="109" t="s">
        <v>15</v>
      </c>
      <c r="AD25" s="135" t="s">
        <v>14</v>
      </c>
      <c r="AE25" s="134" t="s">
        <v>107</v>
      </c>
    </row>
    <row r="26" spans="2:31" ht="66.75" customHeight="1" x14ac:dyDescent="0.25">
      <c r="B26" s="23"/>
      <c r="C26" s="24"/>
      <c r="D26" s="13"/>
      <c r="E26" s="24"/>
      <c r="F26" s="13"/>
      <c r="G26" s="26"/>
      <c r="H26" s="15"/>
      <c r="I26" s="16"/>
      <c r="J26" s="16"/>
      <c r="K26" s="25"/>
      <c r="L26" s="28"/>
      <c r="M26" s="19"/>
      <c r="N26" s="29"/>
      <c r="O26" s="77">
        <f>YEAR(Tabla256835[[#This Row],[Fecha de Terminacion]])</f>
        <v>1900</v>
      </c>
      <c r="P26" s="108">
        <f>+Tabla256835[[#This Row],[SMMLV RUP]]*Tabla256835[[#This Row],[% de Participacion]]</f>
        <v>0</v>
      </c>
      <c r="Q26" s="111"/>
      <c r="R26" s="75" t="e">
        <f>VLOOKUP(Tabla256835[[#This Row],[Año de Terminación]],Tabla36[[Año]:[Salario mínimo mensual]],3,0)</f>
        <v>#N/A</v>
      </c>
      <c r="S26" s="75" t="e">
        <f>+Tabla256835[[#This Row],[Valor Total Ejecutado del Contrato ($)]]/Tabla256835[[#This Row],[SMMLV AÑO DE TERMINACIÓN]]*Tabla256835[[#This Row],[% de Participacion]]</f>
        <v>#N/A</v>
      </c>
      <c r="T26" s="109"/>
      <c r="U26" s="109"/>
      <c r="V26" s="109"/>
      <c r="W26" s="109"/>
      <c r="X26" s="109"/>
      <c r="Y26" s="109"/>
      <c r="Z26" s="109"/>
      <c r="AA26" s="109"/>
      <c r="AB26" s="109"/>
      <c r="AC26" s="109"/>
      <c r="AD26" s="135"/>
      <c r="AE26" s="134"/>
    </row>
    <row r="27" spans="2:31" ht="112.5"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8" scale="13"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EE4A8-17BE-4FA1-B83C-42D514251940}">
  <dimension ref="B3:AE27"/>
  <sheetViews>
    <sheetView showGridLines="0" view="pageBreakPreview" topLeftCell="A3" zoomScale="70" zoomScaleNormal="70" zoomScaleSheetLayoutView="70" workbookViewId="0">
      <selection activeCell="G15" sqref="G15"/>
    </sheetView>
  </sheetViews>
  <sheetFormatPr baseColWidth="10" defaultColWidth="11.42578125" defaultRowHeight="15" x14ac:dyDescent="0.25"/>
  <cols>
    <col min="1" max="1" width="11.42578125" style="4"/>
    <col min="2" max="2" width="9.42578125" style="4" bestFit="1" customWidth="1"/>
    <col min="3" max="3" width="95.28515625" style="4"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5" width="12.140625" style="4" customWidth="1"/>
    <col min="26" max="28" width="17.42578125" style="4" customWidth="1"/>
    <col min="29" max="29" width="23.42578125" style="4" customWidth="1"/>
    <col min="30" max="30" width="25.42578125" style="4" bestFit="1" customWidth="1"/>
    <col min="31" max="31" width="92.42578125" style="4" customWidth="1"/>
    <col min="32" max="32" width="11.42578125" style="4"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82">
        <f>+S24+S25</f>
        <v>787.07426430649525</v>
      </c>
      <c r="E12" s="110" t="str">
        <f>IF(D12&gt;=D11,"CUMPLE","NO CUMPLE")</f>
        <v>CUMPLE</v>
      </c>
      <c r="F12" s="33"/>
    </row>
    <row r="13" spans="3:7" x14ac:dyDescent="0.25">
      <c r="C13" s="131" t="s">
        <v>34</v>
      </c>
      <c r="D13" s="182" t="s">
        <v>13</v>
      </c>
      <c r="E13" s="182"/>
      <c r="F13" s="8"/>
    </row>
    <row r="14" spans="3:7" x14ac:dyDescent="0.25">
      <c r="C14" s="131" t="s">
        <v>35</v>
      </c>
      <c r="D14" s="183">
        <f>+COUNT(B24,B25,B26)</f>
        <v>2</v>
      </c>
      <c r="E14" s="183"/>
      <c r="F14" s="8"/>
    </row>
    <row r="15" spans="3:7" ht="219.75" customHeight="1" x14ac:dyDescent="0.25">
      <c r="C15" s="131" t="s">
        <v>36</v>
      </c>
      <c r="D15" s="121" t="s">
        <v>37</v>
      </c>
      <c r="E15" s="7" t="s">
        <v>15</v>
      </c>
      <c r="F15" s="112"/>
    </row>
    <row r="16" spans="3:7" ht="30" x14ac:dyDescent="0.25">
      <c r="C16" s="131" t="s">
        <v>38</v>
      </c>
      <c r="D16" s="121" t="s">
        <v>37</v>
      </c>
      <c r="E16" s="7" t="s">
        <v>15</v>
      </c>
      <c r="F16" s="112"/>
    </row>
    <row r="17" spans="2:31" ht="93" customHeight="1" x14ac:dyDescent="0.25">
      <c r="C17" s="131" t="s">
        <v>39</v>
      </c>
      <c r="D17" s="121" t="s">
        <v>37</v>
      </c>
      <c r="E17" s="7" t="s">
        <v>15</v>
      </c>
      <c r="F17" s="112"/>
    </row>
    <row r="18" spans="2:31" x14ac:dyDescent="0.25">
      <c r="C18" s="131" t="s">
        <v>40</v>
      </c>
      <c r="D18" s="121" t="s">
        <v>37</v>
      </c>
      <c r="E18" s="7" t="s">
        <v>15</v>
      </c>
      <c r="F18" s="33"/>
    </row>
    <row r="19" spans="2:31" x14ac:dyDescent="0.25">
      <c r="C19" s="131" t="s">
        <v>41</v>
      </c>
      <c r="D19" s="121" t="s">
        <v>37</v>
      </c>
      <c r="E19" s="7" t="s">
        <v>15</v>
      </c>
      <c r="F19" s="33"/>
    </row>
    <row r="20" spans="2:31" ht="39" customHeight="1" x14ac:dyDescent="0.25">
      <c r="C20" s="131" t="s">
        <v>42</v>
      </c>
      <c r="D20" s="123" t="s">
        <v>14</v>
      </c>
      <c r="E20" s="176" t="s">
        <v>43</v>
      </c>
      <c r="F20" s="177"/>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285.75" customHeight="1" x14ac:dyDescent="0.25">
      <c r="B24" s="12">
        <v>1</v>
      </c>
      <c r="C24" s="13" t="s">
        <v>74</v>
      </c>
      <c r="D24" s="107" t="s">
        <v>13</v>
      </c>
      <c r="E24" s="13" t="s">
        <v>75</v>
      </c>
      <c r="F24" s="13" t="s">
        <v>76</v>
      </c>
      <c r="G24" s="14" t="s">
        <v>77</v>
      </c>
      <c r="H24" s="15" t="s">
        <v>78</v>
      </c>
      <c r="I24" s="16">
        <v>1</v>
      </c>
      <c r="J24" s="16" t="s">
        <v>79</v>
      </c>
      <c r="K24" s="17">
        <v>156</v>
      </c>
      <c r="L24" s="18">
        <v>51.46</v>
      </c>
      <c r="M24" s="19">
        <v>45079</v>
      </c>
      <c r="N24" s="19">
        <v>45262</v>
      </c>
      <c r="O24" s="77">
        <f>YEAR(Tabla2568356[[#This Row],[Fecha de Terminacion]])</f>
        <v>2023</v>
      </c>
      <c r="P24" s="21">
        <f>+Tabla2568356[[#This Row],[SMMLV RUP]]*Tabla2568356[[#This Row],[% de Participacion]]</f>
        <v>51.46</v>
      </c>
      <c r="Q24" s="111">
        <v>59700000</v>
      </c>
      <c r="R24" s="75">
        <f>VLOOKUP(Tabla2568356[[#This Row],[Año de Terminación]],Tabla36[[Año]:[Salario mínimo mensual]],3,0)</f>
        <v>1160000</v>
      </c>
      <c r="S24" s="75">
        <f>+Tabla2568356[[#This Row],[Valor Total Ejecutado del Contrato ($)]]/Tabla2568356[[#This Row],[SMMLV AÑO DE TERMINACIÓN]]*Tabla2568356[[#This Row],[% de Participacion]]</f>
        <v>51.46551724137931</v>
      </c>
      <c r="T24" s="109" t="s">
        <v>80</v>
      </c>
      <c r="U24" s="109" t="s">
        <v>80</v>
      </c>
      <c r="V24" s="109" t="s">
        <v>80</v>
      </c>
      <c r="W24" s="109" t="s">
        <v>80</v>
      </c>
      <c r="X24" s="109" t="s">
        <v>80</v>
      </c>
      <c r="Y24" s="109" t="s">
        <v>80</v>
      </c>
      <c r="Z24" s="109" t="s">
        <v>80</v>
      </c>
      <c r="AA24" s="109" t="s">
        <v>81</v>
      </c>
      <c r="AB24" s="126" t="s">
        <v>14</v>
      </c>
      <c r="AC24" s="109" t="s">
        <v>15</v>
      </c>
      <c r="AD24" s="135" t="s">
        <v>14</v>
      </c>
      <c r="AE24" s="134" t="s">
        <v>82</v>
      </c>
    </row>
    <row r="25" spans="2:31" ht="272.25" customHeight="1" x14ac:dyDescent="0.25">
      <c r="B25" s="12">
        <v>2</v>
      </c>
      <c r="C25" s="13" t="s">
        <v>83</v>
      </c>
      <c r="D25" s="13" t="s">
        <v>13</v>
      </c>
      <c r="E25" s="13" t="s">
        <v>84</v>
      </c>
      <c r="F25" s="13" t="s">
        <v>85</v>
      </c>
      <c r="G25" s="14" t="s">
        <v>86</v>
      </c>
      <c r="H25" s="15" t="s">
        <v>78</v>
      </c>
      <c r="I25" s="16">
        <v>1</v>
      </c>
      <c r="J25" s="16" t="s">
        <v>79</v>
      </c>
      <c r="K25" s="107">
        <v>64</v>
      </c>
      <c r="L25" s="108">
        <v>735.6</v>
      </c>
      <c r="M25" s="19">
        <v>43633</v>
      </c>
      <c r="N25" s="19">
        <v>43998</v>
      </c>
      <c r="O25" s="77">
        <f>YEAR(Tabla2568356[[#This Row],[Fecha de Terminacion]])</f>
        <v>2020</v>
      </c>
      <c r="P25" s="108">
        <f>+Tabla2568356[[#This Row],[SMMLV RUP]]*Tabla2568356[[#This Row],[% de Participacion]]</f>
        <v>735.6</v>
      </c>
      <c r="Q25" s="111">
        <v>645719565</v>
      </c>
      <c r="R25" s="75">
        <f>VLOOKUP(Tabla2568356[[#This Row],[Año de Terminación]],Tabla36[[Año]:[Salario mínimo mensual]],3,0)</f>
        <v>877803</v>
      </c>
      <c r="S25" s="75">
        <f>+Tabla2568356[[#This Row],[Valor Total Ejecutado del Contrato ($)]]/Tabla2568356[[#This Row],[SMMLV AÑO DE TERMINACIÓN]]*Tabla2568356[[#This Row],[% de Participacion]]</f>
        <v>735.60874706511595</v>
      </c>
      <c r="T25" s="109" t="s">
        <v>80</v>
      </c>
      <c r="U25" s="109" t="s">
        <v>80</v>
      </c>
      <c r="V25" s="109" t="s">
        <v>80</v>
      </c>
      <c r="W25" s="109" t="s">
        <v>80</v>
      </c>
      <c r="X25" s="109" t="s">
        <v>80</v>
      </c>
      <c r="Y25" s="109" t="s">
        <v>79</v>
      </c>
      <c r="Z25" s="109" t="s">
        <v>80</v>
      </c>
      <c r="AA25" s="109" t="s">
        <v>80</v>
      </c>
      <c r="AB25" s="126" t="s">
        <v>14</v>
      </c>
      <c r="AC25" s="109" t="s">
        <v>15</v>
      </c>
      <c r="AD25" s="135" t="s">
        <v>14</v>
      </c>
      <c r="AE25" s="134" t="s">
        <v>87</v>
      </c>
    </row>
    <row r="26" spans="2:31" ht="66.75" customHeight="1" x14ac:dyDescent="0.25">
      <c r="B26" s="23"/>
      <c r="C26" s="24"/>
      <c r="D26" s="13"/>
      <c r="E26" s="24"/>
      <c r="F26" s="13"/>
      <c r="G26" s="26"/>
      <c r="H26" s="15"/>
      <c r="I26" s="16"/>
      <c r="J26" s="16"/>
      <c r="K26" s="25"/>
      <c r="L26" s="28"/>
      <c r="M26" s="19"/>
      <c r="N26" s="29"/>
      <c r="O26" s="77">
        <f>YEAR(Tabla2568356[[#This Row],[Fecha de Terminacion]])</f>
        <v>1900</v>
      </c>
      <c r="P26" s="108">
        <f>+Tabla2568356[[#This Row],[SMMLV RUP]]*Tabla2568356[[#This Row],[% de Participacion]]</f>
        <v>0</v>
      </c>
      <c r="Q26" s="111"/>
      <c r="R26" s="75" t="e">
        <f>VLOOKUP(Tabla2568356[[#This Row],[Año de Terminación]],Tabla36[[Año]:[Salario mínimo mensual]],3,0)</f>
        <v>#N/A</v>
      </c>
      <c r="S26" s="75" t="e">
        <f>+Tabla2568356[[#This Row],[Valor Total Ejecutado del Contrato ($)]]/Tabla2568356[[#This Row],[SMMLV AÑO DE TERMINACIÓN]]*Tabla2568356[[#This Row],[% de Participacion]]</f>
        <v>#N/A</v>
      </c>
      <c r="T26" s="109"/>
      <c r="U26" s="109"/>
      <c r="V26" s="109"/>
      <c r="W26" s="109"/>
      <c r="X26" s="109"/>
      <c r="Y26" s="109"/>
      <c r="Z26" s="109"/>
      <c r="AA26" s="109"/>
      <c r="AB26" s="109"/>
      <c r="AC26" s="109"/>
      <c r="AD26" s="135"/>
      <c r="AE26" s="134"/>
    </row>
    <row r="27" spans="2:31" ht="112.5"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8" scale="17"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85630-F50B-45BC-9E0C-CC389391BF7C}">
  <dimension ref="B3:AE27"/>
  <sheetViews>
    <sheetView showGridLines="0" view="pageBreakPreview" zoomScale="70" zoomScaleNormal="70" zoomScaleSheetLayoutView="70" workbookViewId="0"/>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3.140625" style="4" customWidth="1"/>
    <col min="8" max="11" width="13.140625" style="4" customWidth="1"/>
    <col min="12" max="15" width="13.42578125" style="4" customWidth="1"/>
    <col min="16" max="16" width="15" style="4" customWidth="1"/>
    <col min="17" max="17" width="21.7109375" style="4" customWidth="1"/>
    <col min="18" max="18" width="20.85546875" style="4" bestFit="1" customWidth="1"/>
    <col min="19" max="19" width="13.42578125" style="4" customWidth="1"/>
    <col min="20" max="25" width="12.140625" style="4" customWidth="1"/>
    <col min="26" max="28" width="17.42578125" style="4" customWidth="1"/>
    <col min="29" max="29" width="20.28515625" style="4" customWidth="1"/>
    <col min="30" max="30" width="25.42578125" style="4" bestFit="1" customWidth="1"/>
    <col min="31" max="31" width="95.2851562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82">
        <f>+S24+S25</f>
        <v>0</v>
      </c>
      <c r="E12" s="110" t="str">
        <f>IF(D12&gt;=D11,"CUMPLE","NO CUMPLE")</f>
        <v>NO CUMPLE</v>
      </c>
      <c r="F12" s="33"/>
    </row>
    <row r="13" spans="3:7" x14ac:dyDescent="0.25">
      <c r="C13" s="131" t="s">
        <v>34</v>
      </c>
      <c r="D13" s="182" t="s">
        <v>130</v>
      </c>
      <c r="E13" s="182"/>
      <c r="F13" s="8"/>
    </row>
    <row r="14" spans="3:7" x14ac:dyDescent="0.25">
      <c r="C14" s="131" t="s">
        <v>35</v>
      </c>
      <c r="D14" s="183">
        <f>+COUNT(B24,B25,B26)</f>
        <v>3</v>
      </c>
      <c r="E14" s="183"/>
      <c r="F14" s="8"/>
    </row>
    <row r="15" spans="3:7" ht="267.75" customHeight="1" x14ac:dyDescent="0.25">
      <c r="C15" s="131" t="s">
        <v>36</v>
      </c>
      <c r="D15" s="121" t="s">
        <v>37</v>
      </c>
      <c r="E15" s="7" t="s">
        <v>15</v>
      </c>
      <c r="F15" s="112"/>
    </row>
    <row r="16" spans="3:7" ht="30" x14ac:dyDescent="0.25">
      <c r="C16" s="131" t="s">
        <v>38</v>
      </c>
      <c r="D16" s="121" t="s">
        <v>37</v>
      </c>
      <c r="E16" s="7" t="s">
        <v>15</v>
      </c>
      <c r="F16" s="112"/>
    </row>
    <row r="17" spans="2:31" ht="93" customHeight="1" x14ac:dyDescent="0.25">
      <c r="C17" s="131" t="s">
        <v>39</v>
      </c>
      <c r="D17" s="121" t="s">
        <v>37</v>
      </c>
      <c r="E17" s="7" t="s">
        <v>15</v>
      </c>
      <c r="F17" s="112"/>
    </row>
    <row r="18" spans="2:31" ht="30" x14ac:dyDescent="0.25">
      <c r="C18" s="131" t="s">
        <v>40</v>
      </c>
      <c r="D18" s="121" t="s">
        <v>37</v>
      </c>
      <c r="E18" s="7" t="s">
        <v>15</v>
      </c>
      <c r="F18" s="33"/>
    </row>
    <row r="19" spans="2:31" ht="30" x14ac:dyDescent="0.25">
      <c r="C19" s="131" t="s">
        <v>41</v>
      </c>
      <c r="D19" s="140" t="s">
        <v>104</v>
      </c>
      <c r="E19" s="123" t="s">
        <v>14</v>
      </c>
      <c r="F19" s="33"/>
    </row>
    <row r="20" spans="2:31" ht="39" customHeight="1" x14ac:dyDescent="0.25">
      <c r="C20" s="131" t="s">
        <v>42</v>
      </c>
      <c r="D20" s="123" t="s">
        <v>14</v>
      </c>
      <c r="E20" s="176" t="s">
        <v>43</v>
      </c>
      <c r="F20" s="177"/>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297.75" customHeight="1" x14ac:dyDescent="0.25">
      <c r="B24" s="12">
        <v>1</v>
      </c>
      <c r="C24" s="107" t="s">
        <v>131</v>
      </c>
      <c r="D24" s="107" t="s">
        <v>132</v>
      </c>
      <c r="E24" s="107" t="s">
        <v>133</v>
      </c>
      <c r="F24" s="154" t="s">
        <v>93</v>
      </c>
      <c r="G24" s="151" t="s">
        <v>134</v>
      </c>
      <c r="H24" s="15" t="s">
        <v>78</v>
      </c>
      <c r="I24" s="16">
        <v>1</v>
      </c>
      <c r="J24" s="16" t="s">
        <v>79</v>
      </c>
      <c r="K24" s="17">
        <v>74</v>
      </c>
      <c r="L24" s="18">
        <v>148.59</v>
      </c>
      <c r="M24" s="147">
        <v>41934</v>
      </c>
      <c r="N24" s="147">
        <v>42063</v>
      </c>
      <c r="O24" s="77">
        <f>YEAR(Tabla25683579101112[[#This Row],[Fecha de Terminacion]])</f>
        <v>2015</v>
      </c>
      <c r="P24" s="21">
        <f>+Tabla25683579101112[[#This Row],[SMMLV RUP]]*Tabla25683579101112[[#This Row],[% de Participacion]]</f>
        <v>148.59</v>
      </c>
      <c r="Q24" s="148"/>
      <c r="R24" s="75">
        <f>VLOOKUP(Tabla25683579101112[[#This Row],[Año de Terminación]],Tabla36[[Año]:[Salario mínimo mensual]],3,0)</f>
        <v>644350</v>
      </c>
      <c r="S24" s="75">
        <f>+Tabla25683579101112[[#This Row],[Valor Total Ejecutado del Contrato ($)]]/Tabla25683579101112[[#This Row],[SMMLV AÑO DE TERMINACIÓN]]*Tabla25683579101112[[#This Row],[% de Participacion]]</f>
        <v>0</v>
      </c>
      <c r="T24" s="109" t="s">
        <v>15</v>
      </c>
      <c r="U24" s="109" t="s">
        <v>15</v>
      </c>
      <c r="V24" s="109" t="s">
        <v>15</v>
      </c>
      <c r="W24" s="109" t="s">
        <v>15</v>
      </c>
      <c r="X24" s="109" t="s">
        <v>15</v>
      </c>
      <c r="Y24" s="109" t="s">
        <v>79</v>
      </c>
      <c r="Z24" s="126" t="s">
        <v>14</v>
      </c>
      <c r="AA24" s="109" t="s">
        <v>81</v>
      </c>
      <c r="AB24" s="126" t="s">
        <v>14</v>
      </c>
      <c r="AC24" s="109" t="s">
        <v>15</v>
      </c>
      <c r="AD24" s="135" t="s">
        <v>14</v>
      </c>
      <c r="AE24" s="134" t="s">
        <v>135</v>
      </c>
    </row>
    <row r="25" spans="2:31" ht="297.75" customHeight="1" x14ac:dyDescent="0.25">
      <c r="B25" s="12">
        <v>2</v>
      </c>
      <c r="C25" s="107" t="s">
        <v>131</v>
      </c>
      <c r="D25" s="107" t="s">
        <v>132</v>
      </c>
      <c r="E25" s="107" t="s">
        <v>136</v>
      </c>
      <c r="F25" s="154" t="s">
        <v>93</v>
      </c>
      <c r="G25" s="151" t="s">
        <v>137</v>
      </c>
      <c r="H25" s="15" t="s">
        <v>78</v>
      </c>
      <c r="I25" s="16">
        <v>1</v>
      </c>
      <c r="J25" s="16" t="s">
        <v>79</v>
      </c>
      <c r="K25" s="107">
        <v>20</v>
      </c>
      <c r="L25" s="108">
        <v>129.86000000000001</v>
      </c>
      <c r="M25" s="19">
        <v>41514</v>
      </c>
      <c r="N25" s="19">
        <v>41628</v>
      </c>
      <c r="O25" s="77">
        <f>YEAR(Tabla25683579101112[[#This Row],[Fecha de Terminacion]])</f>
        <v>2013</v>
      </c>
      <c r="P25" s="108">
        <f>+Tabla25683579101112[[#This Row],[SMMLV RUP]]*Tabla25683579101112[[#This Row],[% de Participacion]]</f>
        <v>129.86000000000001</v>
      </c>
      <c r="Q25" s="111"/>
      <c r="R25" s="75">
        <f>VLOOKUP(Tabla25683579101112[[#This Row],[Año de Terminación]],Tabla36[[Año]:[Salario mínimo mensual]],3,0)</f>
        <v>589500</v>
      </c>
      <c r="S25" s="75">
        <f>+Tabla25683579101112[[#This Row],[Valor Total Ejecutado del Contrato ($)]]/Tabla25683579101112[[#This Row],[SMMLV AÑO DE TERMINACIÓN]]*Tabla25683579101112[[#This Row],[% de Participacion]]</f>
        <v>0</v>
      </c>
      <c r="T25" s="109" t="s">
        <v>15</v>
      </c>
      <c r="U25" s="109" t="s">
        <v>79</v>
      </c>
      <c r="V25" s="109" t="s">
        <v>15</v>
      </c>
      <c r="W25" s="109" t="s">
        <v>15</v>
      </c>
      <c r="X25" s="109" t="s">
        <v>15</v>
      </c>
      <c r="Y25" s="109" t="s">
        <v>79</v>
      </c>
      <c r="Z25" s="126" t="s">
        <v>14</v>
      </c>
      <c r="AA25" s="109" t="s">
        <v>81</v>
      </c>
      <c r="AB25" s="126" t="s">
        <v>14</v>
      </c>
      <c r="AC25" s="109" t="s">
        <v>15</v>
      </c>
      <c r="AD25" s="135" t="s">
        <v>14</v>
      </c>
      <c r="AE25" s="134" t="s">
        <v>135</v>
      </c>
    </row>
    <row r="26" spans="2:31" ht="297.75" customHeight="1" x14ac:dyDescent="0.25">
      <c r="B26" s="23">
        <v>3</v>
      </c>
      <c r="C26" s="152" t="s">
        <v>138</v>
      </c>
      <c r="D26" s="107" t="s">
        <v>132</v>
      </c>
      <c r="E26" s="107" t="s">
        <v>139</v>
      </c>
      <c r="F26" s="154" t="s">
        <v>93</v>
      </c>
      <c r="G26" s="153" t="s">
        <v>140</v>
      </c>
      <c r="H26" s="15" t="s">
        <v>78</v>
      </c>
      <c r="I26" s="16">
        <v>1</v>
      </c>
      <c r="J26" s="16" t="s">
        <v>79</v>
      </c>
      <c r="K26" s="25">
        <v>93</v>
      </c>
      <c r="L26" s="28">
        <v>123.51</v>
      </c>
      <c r="M26" s="147">
        <v>42314</v>
      </c>
      <c r="N26" s="147">
        <v>42490</v>
      </c>
      <c r="O26" s="77">
        <f>YEAR(Tabla25683579101112[[#This Row],[Fecha de Terminacion]])</f>
        <v>2016</v>
      </c>
      <c r="P26" s="108">
        <f>+Tabla25683579101112[[#This Row],[SMMLV RUP]]*Tabla25683579101112[[#This Row],[% de Participacion]]</f>
        <v>123.51</v>
      </c>
      <c r="Q26" s="148"/>
      <c r="R26" s="75">
        <f>VLOOKUP(Tabla25683579101112[[#This Row],[Año de Terminación]],Tabla36[[Año]:[Salario mínimo mensual]],3,0)</f>
        <v>689455</v>
      </c>
      <c r="S26" s="75">
        <f>+Tabla25683579101112[[#This Row],[Valor Total Ejecutado del Contrato ($)]]/Tabla25683579101112[[#This Row],[SMMLV AÑO DE TERMINACIÓN]]*Tabla25683579101112[[#This Row],[% de Participacion]]</f>
        <v>0</v>
      </c>
      <c r="T26" s="109" t="s">
        <v>15</v>
      </c>
      <c r="U26" s="109" t="s">
        <v>15</v>
      </c>
      <c r="V26" s="109" t="s">
        <v>15</v>
      </c>
      <c r="W26" s="109" t="s">
        <v>15</v>
      </c>
      <c r="X26" s="109" t="s">
        <v>15</v>
      </c>
      <c r="Y26" s="109" t="s">
        <v>79</v>
      </c>
      <c r="Z26" s="126" t="s">
        <v>14</v>
      </c>
      <c r="AA26" s="109" t="s">
        <v>15</v>
      </c>
      <c r="AB26" s="126" t="s">
        <v>14</v>
      </c>
      <c r="AC26" s="109" t="s">
        <v>15</v>
      </c>
      <c r="AD26" s="135" t="s">
        <v>14</v>
      </c>
      <c r="AE26" s="134" t="s">
        <v>135</v>
      </c>
    </row>
    <row r="27" spans="2:31" ht="112.5"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9" scale="17"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AE27"/>
  <sheetViews>
    <sheetView showGridLines="0" view="pageBreakPreview" zoomScale="70" zoomScaleNormal="70" zoomScaleSheetLayoutView="70" workbookViewId="0">
      <selection activeCell="G16" sqref="G16"/>
    </sheetView>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5" width="12.140625" style="4" customWidth="1"/>
    <col min="26" max="28" width="17.42578125" style="4" customWidth="1"/>
    <col min="29" max="29" width="21.5703125" style="4" customWidth="1"/>
    <col min="30" max="30" width="25.42578125" style="4" bestFit="1" customWidth="1"/>
    <col min="31" max="31" width="70.14062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82" t="e">
        <f>+S24</f>
        <v>#N/A</v>
      </c>
      <c r="E12" s="110" t="e">
        <f>IF(D12&gt;=D11,"CUMPLE","NO CUMPLE")</f>
        <v>#N/A</v>
      </c>
      <c r="F12" s="33"/>
    </row>
    <row r="13" spans="3:7" x14ac:dyDescent="0.25">
      <c r="C13" s="131" t="s">
        <v>34</v>
      </c>
      <c r="D13" s="182" t="s">
        <v>17</v>
      </c>
      <c r="E13" s="182"/>
      <c r="F13" s="8"/>
    </row>
    <row r="14" spans="3:7" x14ac:dyDescent="0.25">
      <c r="C14" s="131" t="s">
        <v>35</v>
      </c>
      <c r="D14" s="183">
        <f>+COUNT(B24,B25,B26)</f>
        <v>0</v>
      </c>
      <c r="E14" s="183"/>
      <c r="F14" s="8"/>
    </row>
    <row r="15" spans="3:7" ht="267.75" customHeight="1" x14ac:dyDescent="0.25">
      <c r="C15" s="131" t="s">
        <v>36</v>
      </c>
      <c r="D15" s="140" t="s">
        <v>88</v>
      </c>
      <c r="E15" s="123" t="s">
        <v>14</v>
      </c>
      <c r="F15" s="112"/>
    </row>
    <row r="16" spans="3:7" ht="30" x14ac:dyDescent="0.25">
      <c r="C16" s="131" t="s">
        <v>38</v>
      </c>
      <c r="D16" s="121" t="s">
        <v>37</v>
      </c>
      <c r="E16" s="7" t="s">
        <v>15</v>
      </c>
      <c r="F16" s="112"/>
    </row>
    <row r="17" spans="2:31" ht="93" customHeight="1" x14ac:dyDescent="0.25">
      <c r="C17" s="131" t="s">
        <v>39</v>
      </c>
      <c r="D17" s="121" t="s">
        <v>37</v>
      </c>
      <c r="E17" s="7" t="s">
        <v>15</v>
      </c>
      <c r="F17" s="112"/>
    </row>
    <row r="18" spans="2:31" ht="30" x14ac:dyDescent="0.25">
      <c r="C18" s="131" t="s">
        <v>40</v>
      </c>
      <c r="D18" s="121" t="s">
        <v>37</v>
      </c>
      <c r="E18" s="7" t="s">
        <v>15</v>
      </c>
      <c r="F18" s="33"/>
    </row>
    <row r="19" spans="2:31" ht="30" x14ac:dyDescent="0.25">
      <c r="C19" s="131" t="s">
        <v>41</v>
      </c>
      <c r="D19" s="140" t="s">
        <v>88</v>
      </c>
      <c r="E19" s="145" t="s">
        <v>14</v>
      </c>
      <c r="F19" s="33"/>
    </row>
    <row r="20" spans="2:31" ht="64.5" customHeight="1" x14ac:dyDescent="0.25">
      <c r="C20" s="131" t="s">
        <v>42</v>
      </c>
      <c r="D20" s="123" t="s">
        <v>14</v>
      </c>
      <c r="E20" s="184" t="s">
        <v>89</v>
      </c>
      <c r="F20" s="184"/>
      <c r="G20" s="184"/>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72.75" customHeight="1" x14ac:dyDescent="0.25">
      <c r="B24" s="12"/>
      <c r="C24" s="13"/>
      <c r="D24" s="138"/>
      <c r="E24" s="13"/>
      <c r="F24" s="13"/>
      <c r="G24" s="14"/>
      <c r="H24" s="15"/>
      <c r="I24" s="16"/>
      <c r="J24" s="16"/>
      <c r="K24" s="17"/>
      <c r="L24" s="18"/>
      <c r="M24" s="19"/>
      <c r="N24" s="19"/>
      <c r="O24" s="77">
        <f>YEAR(Tabla2568[[#This Row],[Fecha de Terminacion]])</f>
        <v>1900</v>
      </c>
      <c r="P24" s="21">
        <f>+Tabla2568[[#This Row],[SMMLV RUP]]*Tabla2568[[#This Row],[% de Participacion]]</f>
        <v>0</v>
      </c>
      <c r="Q24" s="111"/>
      <c r="R24" s="75" t="e">
        <f>VLOOKUP(Tabla2568[[#This Row],[Año de Terminación]],Tabla36[[Año]:[Salario mínimo mensual]],3,0)</f>
        <v>#N/A</v>
      </c>
      <c r="S24" s="75" t="e">
        <f>+Tabla2568[[#This Row],[Valor Total Ejecutado del Contrato ($)]]/Tabla2568[[#This Row],[SMMLV AÑO DE TERMINACIÓN]]*Tabla2568[[#This Row],[% de Participacion]]</f>
        <v>#N/A</v>
      </c>
      <c r="T24" s="109"/>
      <c r="U24" s="109"/>
      <c r="V24" s="109"/>
      <c r="W24" s="109"/>
      <c r="X24" s="109"/>
      <c r="Y24" s="109"/>
      <c r="Z24" s="109"/>
      <c r="AA24" s="109"/>
      <c r="AB24" s="109"/>
      <c r="AC24" s="109"/>
      <c r="AD24" s="133"/>
      <c r="AE24" s="134"/>
    </row>
    <row r="25" spans="2:31" ht="102.75" customHeight="1" x14ac:dyDescent="0.25">
      <c r="B25" s="12"/>
      <c r="C25" s="13"/>
      <c r="D25" s="13"/>
      <c r="E25" s="13"/>
      <c r="F25" s="13"/>
      <c r="G25" s="14"/>
      <c r="H25" s="15"/>
      <c r="I25" s="16"/>
      <c r="J25" s="16"/>
      <c r="K25" s="107"/>
      <c r="L25" s="108"/>
      <c r="M25" s="19"/>
      <c r="N25" s="19"/>
      <c r="O25" s="77">
        <f>YEAR(Tabla2568[[#This Row],[Fecha de Terminacion]])</f>
        <v>1900</v>
      </c>
      <c r="P25" s="108">
        <f>+Tabla2568[[#This Row],[SMMLV RUP]]*Tabla2568[[#This Row],[% de Participacion]]</f>
        <v>0</v>
      </c>
      <c r="Q25" s="111"/>
      <c r="R25" s="75" t="e">
        <f>VLOOKUP(Tabla2568[[#This Row],[Año de Terminación]],Tabla36[[Año]:[Salario mínimo mensual]],3,0)</f>
        <v>#N/A</v>
      </c>
      <c r="S25" s="75" t="e">
        <f>+Tabla2568[[#This Row],[Valor Total Ejecutado del Contrato ($)]]/Tabla2568[[#This Row],[SMMLV AÑO DE TERMINACIÓN]]*Tabla2568[[#This Row],[% de Participacion]]</f>
        <v>#N/A</v>
      </c>
      <c r="T25" s="109"/>
      <c r="U25" s="109"/>
      <c r="V25" s="109"/>
      <c r="W25" s="109"/>
      <c r="X25" s="109"/>
      <c r="Y25" s="109"/>
      <c r="Z25" s="109"/>
      <c r="AA25" s="109"/>
      <c r="AB25" s="109"/>
      <c r="AC25" s="109"/>
      <c r="AD25" s="133"/>
      <c r="AE25" s="134"/>
    </row>
    <row r="26" spans="2:31" ht="66.75" customHeight="1" x14ac:dyDescent="0.25">
      <c r="B26" s="23"/>
      <c r="C26" s="24"/>
      <c r="D26" s="13"/>
      <c r="E26" s="24"/>
      <c r="F26" s="13"/>
      <c r="G26" s="26"/>
      <c r="H26" s="15"/>
      <c r="I26" s="16"/>
      <c r="J26" s="16"/>
      <c r="K26" s="25"/>
      <c r="L26" s="28"/>
      <c r="M26" s="19"/>
      <c r="N26" s="29"/>
      <c r="O26" s="77">
        <f>YEAR(Tabla2568[[#This Row],[Fecha de Terminacion]])</f>
        <v>1900</v>
      </c>
      <c r="P26" s="108">
        <f>+Tabla2568[[#This Row],[SMMLV RUP]]*Tabla2568[[#This Row],[% de Participacion]]</f>
        <v>0</v>
      </c>
      <c r="Q26" s="111"/>
      <c r="R26" s="75" t="e">
        <f>VLOOKUP(Tabla2568[[#This Row],[Año de Terminación]],Tabla36[[Año]:[Salario mínimo mensual]],3,0)</f>
        <v>#N/A</v>
      </c>
      <c r="S26" s="75" t="e">
        <f>+Tabla2568[[#This Row],[Valor Total Ejecutado del Contrato ($)]]/Tabla2568[[#This Row],[SMMLV AÑO DE TERMINACIÓN]]*Tabla2568[[#This Row],[% de Participacion]]</f>
        <v>#N/A</v>
      </c>
      <c r="T26" s="109"/>
      <c r="U26" s="109"/>
      <c r="V26" s="109"/>
      <c r="W26" s="109"/>
      <c r="X26" s="109"/>
      <c r="Y26" s="109"/>
      <c r="Z26" s="109"/>
      <c r="AA26" s="109"/>
      <c r="AB26" s="109"/>
      <c r="AC26" s="109"/>
      <c r="AD26" s="135"/>
      <c r="AE26" s="134"/>
    </row>
    <row r="27" spans="2:31" ht="112.5" customHeight="1" x14ac:dyDescent="0.25"/>
  </sheetData>
  <mergeCells count="9">
    <mergeCell ref="C3:E3"/>
    <mergeCell ref="T22:Y22"/>
    <mergeCell ref="Z22:AB22"/>
    <mergeCell ref="D13:E13"/>
    <mergeCell ref="D14:E14"/>
    <mergeCell ref="C4:E4"/>
    <mergeCell ref="C5:E5"/>
    <mergeCell ref="C6:E6"/>
    <mergeCell ref="E20:G20"/>
  </mergeCells>
  <phoneticPr fontId="19" type="noConversion"/>
  <pageMargins left="0.7" right="0.7" top="0.75" bottom="0.75" header="0.3" footer="0.3"/>
  <pageSetup paperSize="9" scale="17" orientation="portrait"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6C3CF-6E62-423A-82CD-938D1AD830F5}">
  <dimension ref="B3:AE27"/>
  <sheetViews>
    <sheetView showGridLines="0" view="pageBreakPreview" zoomScale="70" zoomScaleNormal="70" zoomScaleSheetLayoutView="70" workbookViewId="0">
      <selection activeCell="D17" sqref="D17:E17"/>
    </sheetView>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5" width="12.140625" style="4" customWidth="1"/>
    <col min="26" max="28" width="17.42578125" style="4" customWidth="1"/>
    <col min="29" max="29" width="21.7109375" style="4" customWidth="1"/>
    <col min="30" max="30" width="25.42578125" style="4" bestFit="1" customWidth="1"/>
    <col min="31" max="31" width="70.14062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82">
        <f>+S24+S25</f>
        <v>213.62082864721486</v>
      </c>
      <c r="E12" s="110" t="str">
        <f>IF(D12&gt;=D11,"CUMPLE","NO CUMPLE")</f>
        <v>CUMPLE</v>
      </c>
      <c r="F12" s="33"/>
    </row>
    <row r="13" spans="3:7" x14ac:dyDescent="0.25">
      <c r="C13" s="131" t="s">
        <v>34</v>
      </c>
      <c r="D13" s="182" t="s">
        <v>20</v>
      </c>
      <c r="E13" s="182"/>
      <c r="F13" s="8"/>
    </row>
    <row r="14" spans="3:7" x14ac:dyDescent="0.25">
      <c r="C14" s="131" t="s">
        <v>35</v>
      </c>
      <c r="D14" s="183">
        <f>+COUNT(B24,B25,B26)</f>
        <v>2</v>
      </c>
      <c r="E14" s="183"/>
      <c r="F14" s="8"/>
    </row>
    <row r="15" spans="3:7" ht="267.75" customHeight="1" x14ac:dyDescent="0.25">
      <c r="C15" s="131" t="s">
        <v>36</v>
      </c>
      <c r="D15" s="121" t="s">
        <v>37</v>
      </c>
      <c r="E15" s="7" t="s">
        <v>15</v>
      </c>
      <c r="F15" s="112"/>
    </row>
    <row r="16" spans="3:7" ht="30" x14ac:dyDescent="0.25">
      <c r="C16" s="131" t="s">
        <v>38</v>
      </c>
      <c r="D16" s="121" t="s">
        <v>37</v>
      </c>
      <c r="E16" s="7" t="s">
        <v>15</v>
      </c>
      <c r="F16" s="112"/>
    </row>
    <row r="17" spans="2:31" ht="93" customHeight="1" x14ac:dyDescent="0.25">
      <c r="C17" s="131" t="s">
        <v>39</v>
      </c>
      <c r="D17" s="121" t="s">
        <v>37</v>
      </c>
      <c r="E17" s="7" t="s">
        <v>15</v>
      </c>
      <c r="F17" s="112"/>
    </row>
    <row r="18" spans="2:31" ht="30" x14ac:dyDescent="0.25">
      <c r="C18" s="131" t="s">
        <v>40</v>
      </c>
      <c r="D18" s="121" t="s">
        <v>37</v>
      </c>
      <c r="E18" s="7" t="s">
        <v>15</v>
      </c>
      <c r="F18" s="33"/>
    </row>
    <row r="19" spans="2:31" x14ac:dyDescent="0.25">
      <c r="C19" s="131" t="s">
        <v>41</v>
      </c>
      <c r="D19" s="121" t="s">
        <v>37</v>
      </c>
      <c r="E19" s="7" t="s">
        <v>15</v>
      </c>
      <c r="F19" s="33"/>
    </row>
    <row r="20" spans="2:31" ht="39" customHeight="1" x14ac:dyDescent="0.25">
      <c r="C20" s="131" t="s">
        <v>42</v>
      </c>
      <c r="D20" s="129"/>
      <c r="E20" s="185"/>
      <c r="F20" s="186"/>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72.75" customHeight="1" x14ac:dyDescent="0.25">
      <c r="B24" s="12">
        <v>1</v>
      </c>
      <c r="C24" s="13" t="s">
        <v>0</v>
      </c>
      <c r="D24" s="13" t="s">
        <v>117</v>
      </c>
      <c r="E24" s="13" t="s">
        <v>118</v>
      </c>
      <c r="F24" s="13" t="s">
        <v>93</v>
      </c>
      <c r="G24" s="14" t="s">
        <v>119</v>
      </c>
      <c r="H24" s="15" t="s">
        <v>78</v>
      </c>
      <c r="I24" s="16">
        <v>1</v>
      </c>
      <c r="J24" s="16" t="s">
        <v>79</v>
      </c>
      <c r="K24" s="17">
        <v>52</v>
      </c>
      <c r="L24" s="18">
        <v>128.75</v>
      </c>
      <c r="M24" s="19">
        <v>45226</v>
      </c>
      <c r="N24" s="19">
        <v>45280</v>
      </c>
      <c r="O24" s="77">
        <f>YEAR(Tabla2568357[[#This Row],[Fecha de Terminacion]])</f>
        <v>2023</v>
      </c>
      <c r="P24" s="21">
        <f>+Tabla2568357[[#This Row],[SMMLV RUP]]*Tabla2568357[[#This Row],[% de Participacion]]</f>
        <v>128.75</v>
      </c>
      <c r="Q24" s="111">
        <v>149351220</v>
      </c>
      <c r="R24" s="75">
        <f>VLOOKUP(Tabla2568357[[#This Row],[Año de Terminación]],Tabla36[[Año]:[Salario mínimo mensual]],3,0)</f>
        <v>1160000</v>
      </c>
      <c r="S24" s="75">
        <f>+Tabla2568357[[#This Row],[Valor Total Ejecutado del Contrato ($)]]/Tabla2568357[[#This Row],[SMMLV AÑO DE TERMINACIÓN]]*Tabla2568357[[#This Row],[% de Participacion]]</f>
        <v>128.75105172413794</v>
      </c>
      <c r="T24" s="109" t="s">
        <v>79</v>
      </c>
      <c r="U24" s="109" t="s">
        <v>15</v>
      </c>
      <c r="V24" s="109" t="s">
        <v>15</v>
      </c>
      <c r="W24" s="109" t="s">
        <v>15</v>
      </c>
      <c r="X24" s="109" t="s">
        <v>15</v>
      </c>
      <c r="Y24" s="109" t="s">
        <v>79</v>
      </c>
      <c r="Z24" s="109" t="s">
        <v>15</v>
      </c>
      <c r="AA24" s="109" t="s">
        <v>15</v>
      </c>
      <c r="AB24" s="109" t="s">
        <v>15</v>
      </c>
      <c r="AC24" s="109" t="s">
        <v>15</v>
      </c>
      <c r="AD24" s="133" t="s">
        <v>15</v>
      </c>
      <c r="AE24" s="134"/>
    </row>
    <row r="25" spans="2:31" ht="102.75" customHeight="1" x14ac:dyDescent="0.25">
      <c r="B25" s="12">
        <v>2</v>
      </c>
      <c r="C25" s="13" t="s">
        <v>0</v>
      </c>
      <c r="D25" s="13" t="s">
        <v>117</v>
      </c>
      <c r="E25" s="13" t="s">
        <v>120</v>
      </c>
      <c r="F25" s="13" t="s">
        <v>93</v>
      </c>
      <c r="G25" s="14" t="s">
        <v>119</v>
      </c>
      <c r="H25" s="15" t="s">
        <v>78</v>
      </c>
      <c r="I25" s="16">
        <v>1</v>
      </c>
      <c r="J25" s="16" t="s">
        <v>79</v>
      </c>
      <c r="K25" s="107">
        <v>55</v>
      </c>
      <c r="L25" s="108">
        <v>84.86</v>
      </c>
      <c r="M25" s="19">
        <v>45489</v>
      </c>
      <c r="N25" s="19">
        <v>45636</v>
      </c>
      <c r="O25" s="77">
        <f>YEAR(Tabla2568357[[#This Row],[Fecha de Terminacion]])</f>
        <v>2024</v>
      </c>
      <c r="P25" s="108">
        <f>+Tabla2568357[[#This Row],[SMMLV RUP]]*Tabla2568357[[#This Row],[% de Participacion]]</f>
        <v>84.86</v>
      </c>
      <c r="Q25" s="111">
        <v>110330710</v>
      </c>
      <c r="R25" s="75">
        <f>VLOOKUP(Tabla2568357[[#This Row],[Año de Terminación]],Tabla36[[Año]:[Salario mínimo mensual]],3,0)</f>
        <v>1300000</v>
      </c>
      <c r="S25" s="75">
        <f>+Tabla2568357[[#This Row],[Valor Total Ejecutado del Contrato ($)]]/Tabla2568357[[#This Row],[SMMLV AÑO DE TERMINACIÓN]]*Tabla2568357[[#This Row],[% de Participacion]]</f>
        <v>84.869776923076927</v>
      </c>
      <c r="T25" s="109" t="s">
        <v>15</v>
      </c>
      <c r="U25" s="109" t="s">
        <v>79</v>
      </c>
      <c r="V25" s="109" t="s">
        <v>79</v>
      </c>
      <c r="W25" s="109" t="s">
        <v>15</v>
      </c>
      <c r="X25" s="109" t="s">
        <v>79</v>
      </c>
      <c r="Y25" s="109" t="s">
        <v>15</v>
      </c>
      <c r="Z25" s="109" t="s">
        <v>15</v>
      </c>
      <c r="AA25" s="109" t="s">
        <v>15</v>
      </c>
      <c r="AB25" s="109" t="s">
        <v>15</v>
      </c>
      <c r="AC25" s="109" t="s">
        <v>15</v>
      </c>
      <c r="AD25" s="133" t="s">
        <v>15</v>
      </c>
      <c r="AE25" s="134"/>
    </row>
    <row r="26" spans="2:31" ht="66.75" customHeight="1" x14ac:dyDescent="0.25">
      <c r="B26" s="23"/>
      <c r="C26" s="24"/>
      <c r="D26" s="13"/>
      <c r="E26" s="24"/>
      <c r="F26" s="13"/>
      <c r="G26" s="26"/>
      <c r="H26" s="15"/>
      <c r="I26" s="16"/>
      <c r="J26" s="16"/>
      <c r="K26" s="25"/>
      <c r="L26" s="28"/>
      <c r="M26" s="19"/>
      <c r="N26" s="29"/>
      <c r="O26" s="77">
        <f>YEAR(Tabla2568357[[#This Row],[Fecha de Terminacion]])</f>
        <v>1900</v>
      </c>
      <c r="P26" s="108">
        <f>+Tabla2568357[[#This Row],[SMMLV RUP]]*Tabla2568357[[#This Row],[% de Participacion]]</f>
        <v>0</v>
      </c>
      <c r="Q26" s="111"/>
      <c r="R26" s="75" t="e">
        <f>VLOOKUP(Tabla2568357[[#This Row],[Año de Terminación]],Tabla36[[Año]:[Salario mínimo mensual]],3,0)</f>
        <v>#N/A</v>
      </c>
      <c r="S26" s="75" t="e">
        <f>+Tabla2568357[[#This Row],[Valor Total Ejecutado del Contrato ($)]]/Tabla2568357[[#This Row],[SMMLV AÑO DE TERMINACIÓN]]*Tabla2568357[[#This Row],[% de Participacion]]</f>
        <v>#N/A</v>
      </c>
      <c r="T26" s="109"/>
      <c r="U26" s="109"/>
      <c r="V26" s="109"/>
      <c r="W26" s="109"/>
      <c r="X26" s="109"/>
      <c r="Y26" s="109"/>
      <c r="Z26" s="109"/>
      <c r="AA26" s="109"/>
      <c r="AB26" s="109"/>
      <c r="AC26" s="109"/>
      <c r="AD26" s="135"/>
      <c r="AE26" s="134"/>
    </row>
    <row r="27" spans="2:31" ht="112.5"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9" scale="17" orientation="portrait"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5B824-F753-4C96-AA28-D7C592C0F546}">
  <dimension ref="B3:AE27"/>
  <sheetViews>
    <sheetView showGridLines="0" view="pageBreakPreview" topLeftCell="B1" zoomScale="70" zoomScaleNormal="70" zoomScaleSheetLayoutView="70" workbookViewId="0">
      <selection activeCell="G17" sqref="G17"/>
    </sheetView>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5" width="12.140625" style="4" customWidth="1"/>
    <col min="26" max="28" width="17.42578125" style="4" customWidth="1"/>
    <col min="29" max="29" width="19.7109375" style="4" customWidth="1"/>
    <col min="30" max="30" width="25.42578125" style="4" bestFit="1" customWidth="1"/>
    <col min="31" max="31" width="89.710937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82">
        <f>S24+S25+S26</f>
        <v>47.483472943245808</v>
      </c>
      <c r="E12" s="110" t="str">
        <f>IF(D12&gt;=D11,"CUMPLE","NO CUMPLE")</f>
        <v>NO CUMPLE</v>
      </c>
      <c r="F12" s="33"/>
    </row>
    <row r="13" spans="3:7" ht="32.25" customHeight="1" x14ac:dyDescent="0.25">
      <c r="C13" s="131" t="s">
        <v>34</v>
      </c>
      <c r="D13" s="182" t="s">
        <v>90</v>
      </c>
      <c r="E13" s="182"/>
      <c r="F13" s="8"/>
    </row>
    <row r="14" spans="3:7" x14ac:dyDescent="0.25">
      <c r="C14" s="131" t="s">
        <v>35</v>
      </c>
      <c r="D14" s="183">
        <f>+COUNT(B24,B25,B26)</f>
        <v>3</v>
      </c>
      <c r="E14" s="183"/>
      <c r="F14" s="8"/>
    </row>
    <row r="15" spans="3:7" ht="267.75" customHeight="1" x14ac:dyDescent="0.25">
      <c r="C15" s="131" t="s">
        <v>36</v>
      </c>
      <c r="D15" s="121" t="s">
        <v>37</v>
      </c>
      <c r="E15" s="7" t="s">
        <v>15</v>
      </c>
      <c r="F15" s="112"/>
    </row>
    <row r="16" spans="3:7" ht="30" x14ac:dyDescent="0.25">
      <c r="C16" s="131" t="s">
        <v>38</v>
      </c>
      <c r="D16" s="121" t="s">
        <v>37</v>
      </c>
      <c r="E16" s="7" t="s">
        <v>15</v>
      </c>
      <c r="F16" s="112"/>
    </row>
    <row r="17" spans="2:31" ht="93" customHeight="1" x14ac:dyDescent="0.25">
      <c r="C17" s="131" t="s">
        <v>39</v>
      </c>
      <c r="D17" s="121" t="s">
        <v>37</v>
      </c>
      <c r="E17" s="7" t="s">
        <v>15</v>
      </c>
      <c r="F17" s="112"/>
    </row>
    <row r="18" spans="2:31" ht="30" x14ac:dyDescent="0.25">
      <c r="C18" s="131" t="s">
        <v>40</v>
      </c>
      <c r="D18" s="121" t="s">
        <v>37</v>
      </c>
      <c r="E18" s="7" t="s">
        <v>15</v>
      </c>
      <c r="F18" s="33"/>
    </row>
    <row r="19" spans="2:31" x14ac:dyDescent="0.25">
      <c r="C19" s="131" t="s">
        <v>41</v>
      </c>
      <c r="D19" s="121" t="s">
        <v>37</v>
      </c>
      <c r="E19" s="7" t="s">
        <v>15</v>
      </c>
      <c r="F19" s="33"/>
    </row>
    <row r="20" spans="2:31" ht="39" customHeight="1" x14ac:dyDescent="0.25">
      <c r="C20" s="131" t="s">
        <v>42</v>
      </c>
      <c r="D20" s="123" t="s">
        <v>14</v>
      </c>
      <c r="E20" s="176" t="s">
        <v>43</v>
      </c>
      <c r="F20" s="177"/>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195.75" customHeight="1" x14ac:dyDescent="0.25">
      <c r="B24" s="12">
        <v>1</v>
      </c>
      <c r="C24" s="13" t="s">
        <v>91</v>
      </c>
      <c r="D24" s="107" t="s">
        <v>18</v>
      </c>
      <c r="E24" s="13" t="s">
        <v>92</v>
      </c>
      <c r="F24" s="13" t="s">
        <v>93</v>
      </c>
      <c r="G24" s="14" t="s">
        <v>94</v>
      </c>
      <c r="H24" s="15" t="s">
        <v>78</v>
      </c>
      <c r="I24" s="16">
        <v>1</v>
      </c>
      <c r="J24" s="16" t="s">
        <v>79</v>
      </c>
      <c r="K24" s="17">
        <v>143</v>
      </c>
      <c r="L24" s="18">
        <v>83.55</v>
      </c>
      <c r="M24" s="19">
        <v>45225</v>
      </c>
      <c r="N24" s="19">
        <v>45621</v>
      </c>
      <c r="O24" s="77">
        <f>YEAR(Tabla25683[[#This Row],[Fecha de Terminacion]])</f>
        <v>2024</v>
      </c>
      <c r="P24" s="21">
        <f>+Tabla25683[[#This Row],[SMMLV RUP]]*Tabla25683[[#This Row],[% de Participacion]]</f>
        <v>83.55</v>
      </c>
      <c r="Q24" s="111"/>
      <c r="R24" s="75">
        <f>VLOOKUP(Tabla25683[[#This Row],[Año de Terminación]],Tabla36[[Año]:[Salario mínimo mensual]],3,0)</f>
        <v>1300000</v>
      </c>
      <c r="S24" s="75">
        <f>+Tabla25683[[#This Row],[Valor Total Ejecutado del Contrato ($)]]/Tabla25683[[#This Row],[SMMLV AÑO DE TERMINACIÓN]]*Tabla25683[[#This Row],[% de Participacion]]</f>
        <v>0</v>
      </c>
      <c r="T24" s="109" t="s">
        <v>15</v>
      </c>
      <c r="U24" s="109" t="s">
        <v>79</v>
      </c>
      <c r="V24" s="109" t="s">
        <v>15</v>
      </c>
      <c r="W24" s="109" t="s">
        <v>79</v>
      </c>
      <c r="X24" s="109" t="s">
        <v>79</v>
      </c>
      <c r="Y24" s="109" t="s">
        <v>79</v>
      </c>
      <c r="Z24" s="109" t="s">
        <v>81</v>
      </c>
      <c r="AA24" s="109" t="s">
        <v>15</v>
      </c>
      <c r="AB24" s="109" t="s">
        <v>81</v>
      </c>
      <c r="AC24" s="109" t="s">
        <v>15</v>
      </c>
      <c r="AD24" s="135" t="s">
        <v>14</v>
      </c>
      <c r="AE24" s="134" t="s">
        <v>95</v>
      </c>
    </row>
    <row r="25" spans="2:31" ht="45" x14ac:dyDescent="0.25">
      <c r="B25" s="12">
        <v>2</v>
      </c>
      <c r="C25" s="13" t="s">
        <v>96</v>
      </c>
      <c r="D25" s="107" t="s">
        <v>18</v>
      </c>
      <c r="E25" s="13" t="s">
        <v>97</v>
      </c>
      <c r="F25" s="13" t="s">
        <v>93</v>
      </c>
      <c r="G25" s="14" t="s">
        <v>98</v>
      </c>
      <c r="H25" s="15" t="s">
        <v>78</v>
      </c>
      <c r="I25" s="16">
        <v>1</v>
      </c>
      <c r="J25" s="16" t="s">
        <v>79</v>
      </c>
      <c r="K25" s="107">
        <v>92</v>
      </c>
      <c r="L25" s="108">
        <v>45</v>
      </c>
      <c r="M25" s="19">
        <v>44525</v>
      </c>
      <c r="N25" s="19">
        <v>44556</v>
      </c>
      <c r="O25" s="77">
        <f>YEAR(Tabla25683[[#This Row],[Fecha de Terminacion]])</f>
        <v>2021</v>
      </c>
      <c r="P25" s="108">
        <f>+Tabla25683[[#This Row],[SMMLV RUP]]*Tabla25683[[#This Row],[% de Participacion]]</f>
        <v>45</v>
      </c>
      <c r="Q25" s="111">
        <v>40883670</v>
      </c>
      <c r="R25" s="75">
        <f>VLOOKUP(Tabla25683[[#This Row],[Año de Terminación]],Tabla36[[Año]:[Salario mínimo mensual]],3,0)</f>
        <v>908526</v>
      </c>
      <c r="S25" s="75">
        <f>+Tabla25683[[#This Row],[Valor Total Ejecutado del Contrato ($)]]/Tabla25683[[#This Row],[SMMLV AÑO DE TERMINACIÓN]]*Tabla25683[[#This Row],[% de Participacion]]</f>
        <v>45</v>
      </c>
      <c r="T25" s="109" t="s">
        <v>79</v>
      </c>
      <c r="U25" s="109" t="s">
        <v>79</v>
      </c>
      <c r="V25" s="109" t="s">
        <v>15</v>
      </c>
      <c r="W25" s="109" t="s">
        <v>79</v>
      </c>
      <c r="X25" s="109" t="s">
        <v>79</v>
      </c>
      <c r="Y25" s="109" t="s">
        <v>79</v>
      </c>
      <c r="Z25" s="109" t="s">
        <v>15</v>
      </c>
      <c r="AA25" s="109" t="s">
        <v>15</v>
      </c>
      <c r="AB25" s="109" t="s">
        <v>81</v>
      </c>
      <c r="AC25" s="109" t="s">
        <v>15</v>
      </c>
      <c r="AD25" s="133" t="s">
        <v>15</v>
      </c>
      <c r="AE25" s="134"/>
    </row>
    <row r="26" spans="2:31" ht="66.75" customHeight="1" x14ac:dyDescent="0.25">
      <c r="B26" s="23">
        <v>3</v>
      </c>
      <c r="C26" s="24" t="s">
        <v>99</v>
      </c>
      <c r="D26" s="107" t="s">
        <v>18</v>
      </c>
      <c r="E26" s="24" t="s">
        <v>100</v>
      </c>
      <c r="F26" s="13" t="s">
        <v>101</v>
      </c>
      <c r="G26" s="26" t="s">
        <v>102</v>
      </c>
      <c r="H26" s="15" t="s">
        <v>78</v>
      </c>
      <c r="I26" s="16">
        <v>1</v>
      </c>
      <c r="J26" s="16" t="s">
        <v>79</v>
      </c>
      <c r="K26" s="25">
        <v>66</v>
      </c>
      <c r="L26" s="28">
        <v>2.48</v>
      </c>
      <c r="M26" s="19">
        <v>44152</v>
      </c>
      <c r="N26" s="29">
        <v>44186</v>
      </c>
      <c r="O26" s="77">
        <f>YEAR(Tabla25683[[#This Row],[Fecha de Terminacion]])</f>
        <v>2020</v>
      </c>
      <c r="P26" s="108">
        <f>+Tabla25683[[#This Row],[SMMLV RUP]]*Tabla25683[[#This Row],[% de Participacion]]</f>
        <v>2.48</v>
      </c>
      <c r="Q26" s="111">
        <v>2180000</v>
      </c>
      <c r="R26" s="75">
        <f>VLOOKUP(Tabla25683[[#This Row],[Año de Terminación]],Tabla36[[Año]:[Salario mínimo mensual]],3,0)</f>
        <v>877803</v>
      </c>
      <c r="S26" s="75">
        <f>+Tabla25683[[#This Row],[Valor Total Ejecutado del Contrato ($)]]/Tabla25683[[#This Row],[SMMLV AÑO DE TERMINACIÓN]]*Tabla25683[[#This Row],[% de Participacion]]</f>
        <v>2.483472943245808</v>
      </c>
      <c r="T26" s="109" t="s">
        <v>79</v>
      </c>
      <c r="U26" s="109" t="s">
        <v>79</v>
      </c>
      <c r="V26" s="109" t="s">
        <v>15</v>
      </c>
      <c r="W26" s="109" t="s">
        <v>79</v>
      </c>
      <c r="X26" s="109" t="s">
        <v>15</v>
      </c>
      <c r="Y26" s="109" t="s">
        <v>79</v>
      </c>
      <c r="Z26" s="109" t="s">
        <v>15</v>
      </c>
      <c r="AA26" s="109" t="s">
        <v>15</v>
      </c>
      <c r="AB26" s="109" t="s">
        <v>15</v>
      </c>
      <c r="AC26" s="109" t="s">
        <v>15</v>
      </c>
      <c r="AD26" s="133" t="s">
        <v>15</v>
      </c>
      <c r="AE26" s="134"/>
    </row>
    <row r="27" spans="2:31" ht="112.5"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9" scale="17" orientation="portrait"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32650-163A-4271-887D-15C46144E336}">
  <dimension ref="B3:AE27"/>
  <sheetViews>
    <sheetView showGridLines="0" view="pageBreakPreview" topLeftCell="AD20" zoomScale="70" zoomScaleNormal="70" zoomScaleSheetLayoutView="70" workbookViewId="0">
      <selection activeCell="AK25" sqref="AK25"/>
    </sheetView>
  </sheetViews>
  <sheetFormatPr baseColWidth="10" defaultColWidth="11.42578125" defaultRowHeight="15" x14ac:dyDescent="0.25"/>
  <cols>
    <col min="1" max="1" width="11.42578125" style="4"/>
    <col min="2" max="2" width="9.42578125" style="4" bestFit="1" customWidth="1"/>
    <col min="3" max="3" width="53.28515625" style="4" customWidth="1"/>
    <col min="4" max="4" width="21.28515625" style="4" customWidth="1"/>
    <col min="5" max="5" width="19.140625" style="4" customWidth="1"/>
    <col min="6" max="6" width="20.42578125" style="4" customWidth="1"/>
    <col min="7" max="7" width="63.140625" style="4" customWidth="1"/>
    <col min="8" max="11" width="13.140625" style="4" customWidth="1"/>
    <col min="12" max="15" width="13.42578125" style="4" customWidth="1"/>
    <col min="16" max="16" width="15" style="4" customWidth="1"/>
    <col min="17" max="17" width="21.7109375" style="4" customWidth="1"/>
    <col min="18" max="18" width="20.85546875" style="4" bestFit="1" customWidth="1"/>
    <col min="19" max="19" width="13.42578125" style="4" customWidth="1"/>
    <col min="20" max="25" width="12.140625" style="4" customWidth="1"/>
    <col min="26" max="28" width="17.42578125" style="4" customWidth="1"/>
    <col min="29" max="29" width="20.28515625" style="4" customWidth="1"/>
    <col min="30" max="30" width="25.42578125" style="4" bestFit="1" customWidth="1"/>
    <col min="31" max="31" width="70.140625" style="4" customWidth="1"/>
    <col min="32" max="32" width="0" style="4" hidden="1" customWidth="1"/>
    <col min="33" max="16384" width="11.42578125" style="4"/>
  </cols>
  <sheetData>
    <row r="3" spans="3:7" ht="76.900000000000006" customHeight="1" x14ac:dyDescent="0.25">
      <c r="C3" s="180"/>
      <c r="D3" s="180"/>
      <c r="E3" s="180"/>
    </row>
    <row r="4" spans="3:7" ht="18.75" customHeight="1" x14ac:dyDescent="0.25">
      <c r="C4" s="179" t="s">
        <v>27</v>
      </c>
      <c r="D4" s="179"/>
      <c r="E4" s="179"/>
      <c r="F4" s="106"/>
    </row>
    <row r="5" spans="3:7" x14ac:dyDescent="0.25">
      <c r="C5" s="179" t="s">
        <v>28</v>
      </c>
      <c r="D5" s="179"/>
      <c r="E5" s="179"/>
      <c r="F5" s="106"/>
    </row>
    <row r="6" spans="3:7" ht="74.25" customHeight="1" x14ac:dyDescent="0.25">
      <c r="C6" s="181" t="s">
        <v>29</v>
      </c>
      <c r="D6" s="181"/>
      <c r="E6" s="181"/>
      <c r="F6" s="130"/>
      <c r="G6" s="130"/>
    </row>
    <row r="7" spans="3:7" x14ac:dyDescent="0.25">
      <c r="C7" s="130"/>
      <c r="D7" s="130"/>
      <c r="E7" s="130"/>
      <c r="F7" s="130"/>
      <c r="G7" s="130"/>
    </row>
    <row r="8" spans="3:7" x14ac:dyDescent="0.25">
      <c r="C8" s="38"/>
      <c r="D8" s="38"/>
      <c r="E8" s="38"/>
      <c r="F8" s="38"/>
      <c r="G8" s="38"/>
    </row>
    <row r="9" spans="3:7" ht="16.5" x14ac:dyDescent="0.3">
      <c r="C9" s="131" t="s">
        <v>30</v>
      </c>
      <c r="D9" s="105">
        <v>214624890</v>
      </c>
      <c r="E9" s="136"/>
      <c r="G9" s="6"/>
    </row>
    <row r="10" spans="3:7" x14ac:dyDescent="0.25">
      <c r="C10" s="131" t="s">
        <v>31</v>
      </c>
      <c r="D10" s="120">
        <v>2026</v>
      </c>
      <c r="G10" s="38"/>
    </row>
    <row r="11" spans="3:7" x14ac:dyDescent="0.25">
      <c r="C11" s="131" t="s">
        <v>32</v>
      </c>
      <c r="D11" s="137">
        <f>D9/(VLOOKUP($D$10,SMMLV!A8:C52,3,FALSE))</f>
        <v>122.57940322290473</v>
      </c>
      <c r="E11" s="106"/>
      <c r="F11" s="33"/>
    </row>
    <row r="12" spans="3:7" x14ac:dyDescent="0.25">
      <c r="C12" s="131" t="s">
        <v>33</v>
      </c>
      <c r="D12" s="162">
        <f>+S24+S25</f>
        <v>0</v>
      </c>
      <c r="E12" s="163" t="str">
        <f>IF(D12&gt;=D11,"CUMPLE","NO CUMPLE")</f>
        <v>NO CUMPLE</v>
      </c>
      <c r="F12" s="33"/>
    </row>
    <row r="13" spans="3:7" x14ac:dyDescent="0.25">
      <c r="C13" s="131" t="s">
        <v>34</v>
      </c>
      <c r="D13" s="182" t="s">
        <v>23</v>
      </c>
      <c r="E13" s="182"/>
      <c r="F13" s="8"/>
    </row>
    <row r="14" spans="3:7" x14ac:dyDescent="0.25">
      <c r="C14" s="131" t="s">
        <v>35</v>
      </c>
      <c r="D14" s="183">
        <f>+COUNT(B24,B25,B26)</f>
        <v>3</v>
      </c>
      <c r="E14" s="183"/>
      <c r="F14" s="8"/>
    </row>
    <row r="15" spans="3:7" ht="267.75" customHeight="1" x14ac:dyDescent="0.25">
      <c r="C15" s="131" t="s">
        <v>36</v>
      </c>
      <c r="D15" s="140" t="s">
        <v>104</v>
      </c>
      <c r="E15" s="123" t="s">
        <v>14</v>
      </c>
      <c r="F15" s="112"/>
    </row>
    <row r="16" spans="3:7" ht="30" x14ac:dyDescent="0.25">
      <c r="C16" s="131" t="s">
        <v>38</v>
      </c>
      <c r="D16" s="140" t="s">
        <v>104</v>
      </c>
      <c r="E16" s="123" t="s">
        <v>14</v>
      </c>
      <c r="F16" s="112"/>
    </row>
    <row r="17" spans="2:31" ht="93" customHeight="1" x14ac:dyDescent="0.25">
      <c r="C17" s="131" t="s">
        <v>39</v>
      </c>
      <c r="D17" s="121" t="s">
        <v>37</v>
      </c>
      <c r="E17" s="7" t="s">
        <v>15</v>
      </c>
      <c r="F17" s="112"/>
    </row>
    <row r="18" spans="2:31" ht="30" x14ac:dyDescent="0.25">
      <c r="C18" s="131" t="s">
        <v>40</v>
      </c>
      <c r="D18" s="121" t="s">
        <v>37</v>
      </c>
      <c r="E18" s="7" t="s">
        <v>15</v>
      </c>
      <c r="F18" s="33"/>
    </row>
    <row r="19" spans="2:31" ht="30" x14ac:dyDescent="0.25">
      <c r="C19" s="131" t="s">
        <v>41</v>
      </c>
      <c r="D19" s="140" t="s">
        <v>104</v>
      </c>
      <c r="E19" s="123" t="s">
        <v>14</v>
      </c>
      <c r="F19" s="33"/>
    </row>
    <row r="20" spans="2:31" ht="39" customHeight="1" x14ac:dyDescent="0.25">
      <c r="C20" s="131" t="s">
        <v>42</v>
      </c>
      <c r="D20" s="123" t="s">
        <v>14</v>
      </c>
      <c r="E20" s="176" t="s">
        <v>43</v>
      </c>
      <c r="F20" s="177"/>
    </row>
    <row r="22" spans="2:31" x14ac:dyDescent="0.25">
      <c r="F22" s="78"/>
      <c r="T22" s="178" t="s">
        <v>44</v>
      </c>
      <c r="U22" s="178"/>
      <c r="V22" s="178"/>
      <c r="W22" s="178"/>
      <c r="X22" s="178"/>
      <c r="Y22" s="178"/>
      <c r="Z22" s="179" t="s">
        <v>5</v>
      </c>
      <c r="AA22" s="179"/>
      <c r="AB22" s="179"/>
    </row>
    <row r="23" spans="2:31" s="9" customFormat="1" ht="102.6" customHeight="1" x14ac:dyDescent="0.25">
      <c r="B23" s="10" t="s">
        <v>45</v>
      </c>
      <c r="C23" s="11" t="s">
        <v>46</v>
      </c>
      <c r="D23" s="11" t="s">
        <v>47</v>
      </c>
      <c r="E23" s="11" t="s">
        <v>48</v>
      </c>
      <c r="F23" s="11" t="s">
        <v>49</v>
      </c>
      <c r="G23" s="11" t="s">
        <v>50</v>
      </c>
      <c r="H23" s="11" t="s">
        <v>51</v>
      </c>
      <c r="I23" s="11" t="s">
        <v>52</v>
      </c>
      <c r="J23" s="11" t="s">
        <v>53</v>
      </c>
      <c r="K23" s="11" t="s">
        <v>54</v>
      </c>
      <c r="L23" s="11" t="s">
        <v>55</v>
      </c>
      <c r="M23" s="11" t="s">
        <v>56</v>
      </c>
      <c r="N23" s="11" t="s">
        <v>57</v>
      </c>
      <c r="O23" s="11" t="s">
        <v>58</v>
      </c>
      <c r="P23" s="11" t="s">
        <v>59</v>
      </c>
      <c r="Q23" s="11" t="s">
        <v>60</v>
      </c>
      <c r="R23" s="11" t="s">
        <v>61</v>
      </c>
      <c r="S23" s="11" t="s">
        <v>62</v>
      </c>
      <c r="T23" s="11" t="s">
        <v>63</v>
      </c>
      <c r="U23" s="11" t="s">
        <v>64</v>
      </c>
      <c r="V23" s="11" t="s">
        <v>65</v>
      </c>
      <c r="W23" s="11" t="s">
        <v>66</v>
      </c>
      <c r="X23" s="11" t="s">
        <v>67</v>
      </c>
      <c r="Y23" s="11" t="s">
        <v>68</v>
      </c>
      <c r="Z23" s="11" t="s">
        <v>69</v>
      </c>
      <c r="AA23" s="11" t="s">
        <v>70</v>
      </c>
      <c r="AB23" s="11" t="s">
        <v>71</v>
      </c>
      <c r="AC23" s="11" t="s">
        <v>72</v>
      </c>
      <c r="AD23" s="132" t="s">
        <v>73</v>
      </c>
      <c r="AE23" s="132" t="s">
        <v>12</v>
      </c>
    </row>
    <row r="24" spans="2:31" ht="186" customHeight="1" x14ac:dyDescent="0.25">
      <c r="B24" s="12">
        <v>1</v>
      </c>
      <c r="C24" s="13" t="s">
        <v>121</v>
      </c>
      <c r="D24" s="107" t="s">
        <v>23</v>
      </c>
      <c r="E24" s="146">
        <v>45246</v>
      </c>
      <c r="F24" s="13" t="s">
        <v>93</v>
      </c>
      <c r="G24" s="14" t="s">
        <v>122</v>
      </c>
      <c r="H24" s="15" t="s">
        <v>78</v>
      </c>
      <c r="I24" s="16">
        <v>1</v>
      </c>
      <c r="J24" s="16" t="s">
        <v>79</v>
      </c>
      <c r="K24" s="17">
        <v>33</v>
      </c>
      <c r="L24" s="18"/>
      <c r="M24" s="147">
        <v>45246</v>
      </c>
      <c r="N24" s="147">
        <v>45716</v>
      </c>
      <c r="O24" s="77">
        <f>YEAR(Tabla256835791011[[#This Row],[Fecha de Terminacion]])</f>
        <v>2025</v>
      </c>
      <c r="P24" s="21">
        <f>+Tabla256835791011[[#This Row],[SMMLV RUP]]*Tabla256835791011[[#This Row],[% de Participacion]]</f>
        <v>0</v>
      </c>
      <c r="Q24" s="148"/>
      <c r="R24" s="75">
        <f>VLOOKUP(Tabla256835791011[[#This Row],[Año de Terminación]],Tabla36[[Año]:[Salario mínimo mensual]],3,0)</f>
        <v>1423500</v>
      </c>
      <c r="S24" s="75">
        <f>+Tabla256835791011[[#This Row],[Valor Total Ejecutado del Contrato ($)]]/Tabla256835791011[[#This Row],[SMMLV AÑO DE TERMINACIÓN]]*Tabla256835791011[[#This Row],[% de Participacion]]</f>
        <v>0</v>
      </c>
      <c r="T24" s="109" t="s">
        <v>15</v>
      </c>
      <c r="U24" s="109" t="s">
        <v>15</v>
      </c>
      <c r="V24" s="109" t="s">
        <v>15</v>
      </c>
      <c r="W24" s="109" t="s">
        <v>15</v>
      </c>
      <c r="X24" s="109" t="s">
        <v>15</v>
      </c>
      <c r="Y24" s="109" t="s">
        <v>15</v>
      </c>
      <c r="Z24" s="109" t="s">
        <v>15</v>
      </c>
      <c r="AA24" s="109" t="s">
        <v>15</v>
      </c>
      <c r="AB24" s="109" t="s">
        <v>15</v>
      </c>
      <c r="AC24" s="109" t="s">
        <v>15</v>
      </c>
      <c r="AD24" s="135" t="s">
        <v>14</v>
      </c>
      <c r="AE24" s="134" t="s">
        <v>123</v>
      </c>
    </row>
    <row r="25" spans="2:31" ht="174.75" customHeight="1" x14ac:dyDescent="0.25">
      <c r="B25" s="12">
        <v>2</v>
      </c>
      <c r="C25" s="13" t="s">
        <v>124</v>
      </c>
      <c r="D25" s="107" t="s">
        <v>23</v>
      </c>
      <c r="E25" s="13" t="s">
        <v>125</v>
      </c>
      <c r="F25" s="13" t="s">
        <v>93</v>
      </c>
      <c r="G25" s="14" t="s">
        <v>126</v>
      </c>
      <c r="H25" s="15" t="s">
        <v>78</v>
      </c>
      <c r="I25" s="16">
        <v>1</v>
      </c>
      <c r="J25" s="16" t="s">
        <v>79</v>
      </c>
      <c r="K25" s="107">
        <v>32</v>
      </c>
      <c r="L25" s="108">
        <v>193.69</v>
      </c>
      <c r="M25" s="19">
        <v>45043</v>
      </c>
      <c r="N25" s="19">
        <v>45382</v>
      </c>
      <c r="O25" s="77">
        <f>YEAR(Tabla256835791011[[#This Row],[Fecha de Terminacion]])</f>
        <v>2024</v>
      </c>
      <c r="P25" s="108">
        <f>+Tabla256835791011[[#This Row],[SMMLV RUP]]*Tabla256835791011[[#This Row],[% de Participacion]]</f>
        <v>193.69</v>
      </c>
      <c r="Q25" s="111"/>
      <c r="R25" s="75">
        <f>VLOOKUP(Tabla256835791011[[#This Row],[Año de Terminación]],Tabla36[[Año]:[Salario mínimo mensual]],3,0)</f>
        <v>1300000</v>
      </c>
      <c r="S25" s="75">
        <f>+Tabla256835791011[[#This Row],[Valor Total Ejecutado del Contrato ($)]]/Tabla256835791011[[#This Row],[SMMLV AÑO DE TERMINACIÓN]]*Tabla256835791011[[#This Row],[% de Participacion]]</f>
        <v>0</v>
      </c>
      <c r="T25" s="109" t="s">
        <v>15</v>
      </c>
      <c r="U25" s="109" t="s">
        <v>15</v>
      </c>
      <c r="V25" s="109" t="s">
        <v>15</v>
      </c>
      <c r="W25" s="109" t="s">
        <v>15</v>
      </c>
      <c r="X25" s="109" t="s">
        <v>15</v>
      </c>
      <c r="Y25" s="109" t="s">
        <v>15</v>
      </c>
      <c r="Z25" s="109" t="s">
        <v>81</v>
      </c>
      <c r="AA25" s="109" t="s">
        <v>15</v>
      </c>
      <c r="AB25" s="109" t="s">
        <v>81</v>
      </c>
      <c r="AC25" s="109" t="s">
        <v>15</v>
      </c>
      <c r="AD25" s="135" t="s">
        <v>14</v>
      </c>
      <c r="AE25" s="134" t="s">
        <v>123</v>
      </c>
    </row>
    <row r="26" spans="2:31" ht="104.25" customHeight="1" x14ac:dyDescent="0.25">
      <c r="B26" s="23">
        <v>3</v>
      </c>
      <c r="C26" s="150" t="s">
        <v>127</v>
      </c>
      <c r="D26" s="107" t="s">
        <v>23</v>
      </c>
      <c r="E26" s="24"/>
      <c r="F26" s="138" t="s">
        <v>14</v>
      </c>
      <c r="G26" s="149" t="s">
        <v>128</v>
      </c>
      <c r="H26" s="15" t="s">
        <v>78</v>
      </c>
      <c r="I26" s="16">
        <v>1</v>
      </c>
      <c r="J26" s="16" t="s">
        <v>79</v>
      </c>
      <c r="K26" s="25">
        <v>34</v>
      </c>
      <c r="L26" s="28"/>
      <c r="M26" s="139" t="s">
        <v>14</v>
      </c>
      <c r="N26" s="139" t="s">
        <v>14</v>
      </c>
      <c r="O26" s="77" t="e">
        <f>YEAR(Tabla256835791011[[#This Row],[Fecha de Terminacion]])</f>
        <v>#VALUE!</v>
      </c>
      <c r="P26" s="108">
        <f>+Tabla256835791011[[#This Row],[SMMLV RUP]]*Tabla256835791011[[#This Row],[% de Participacion]]</f>
        <v>0</v>
      </c>
      <c r="Q26" s="139" t="s">
        <v>14</v>
      </c>
      <c r="R26" s="75" t="e">
        <f>VLOOKUP(Tabla256835791011[[#This Row],[Año de Terminación]],Tabla36[[Año]:[Salario mínimo mensual]],3,0)</f>
        <v>#VALUE!</v>
      </c>
      <c r="S26" s="75" t="e">
        <f>+Tabla256835791011[[#This Row],[Valor Total Ejecutado del Contrato ($)]]/Tabla256835791011[[#This Row],[SMMLV AÑO DE TERMINACIÓN]]*Tabla256835791011[[#This Row],[% de Participacion]]</f>
        <v>#VALUE!</v>
      </c>
      <c r="T26" s="126" t="s">
        <v>14</v>
      </c>
      <c r="U26" s="126" t="s">
        <v>14</v>
      </c>
      <c r="V26" s="126" t="s">
        <v>14</v>
      </c>
      <c r="W26" s="126" t="s">
        <v>14</v>
      </c>
      <c r="X26" s="126" t="s">
        <v>14</v>
      </c>
      <c r="Y26" s="126" t="s">
        <v>14</v>
      </c>
      <c r="Z26" s="109" t="s">
        <v>15</v>
      </c>
      <c r="AA26" s="109" t="s">
        <v>15</v>
      </c>
      <c r="AB26" s="109" t="s">
        <v>81</v>
      </c>
      <c r="AC26" s="109" t="s">
        <v>15</v>
      </c>
      <c r="AD26" s="135" t="s">
        <v>14</v>
      </c>
      <c r="AE26" s="134" t="s">
        <v>129</v>
      </c>
    </row>
    <row r="27" spans="2:31" ht="112.5" customHeight="1" x14ac:dyDescent="0.25"/>
  </sheetData>
  <mergeCells count="9">
    <mergeCell ref="E20:F20"/>
    <mergeCell ref="T22:Y22"/>
    <mergeCell ref="Z22:AB22"/>
    <mergeCell ref="C3:E3"/>
    <mergeCell ref="C4:E4"/>
    <mergeCell ref="C5:E5"/>
    <mergeCell ref="C6:E6"/>
    <mergeCell ref="D13:E13"/>
    <mergeCell ref="D14:E14"/>
  </mergeCells>
  <pageMargins left="0.7" right="0.7" top="0.75" bottom="0.75" header="0.3" footer="0.3"/>
  <pageSetup paperSize="9" scale="17" orientation="portrait"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4:H37"/>
  <sheetViews>
    <sheetView zoomScale="80" zoomScaleNormal="80" workbookViewId="0">
      <selection activeCell="B5" sqref="B5:H5"/>
    </sheetView>
  </sheetViews>
  <sheetFormatPr baseColWidth="10" defaultColWidth="10.85546875" defaultRowHeight="15" x14ac:dyDescent="0.25"/>
  <cols>
    <col min="1" max="1" width="10.85546875" style="40"/>
    <col min="2" max="2" width="9.28515625" style="40" customWidth="1"/>
    <col min="3" max="3" width="29.42578125" style="40" customWidth="1"/>
    <col min="4" max="4" width="59" style="40" customWidth="1"/>
    <col min="5" max="5" width="34.42578125" style="40" customWidth="1"/>
    <col min="6" max="6" width="12.85546875" style="40" customWidth="1"/>
    <col min="7" max="7" width="10.85546875" style="40"/>
    <col min="8" max="8" width="32.28515625" style="40" customWidth="1"/>
    <col min="9" max="16384" width="10.85546875" style="40"/>
  </cols>
  <sheetData>
    <row r="4" spans="2:8" x14ac:dyDescent="0.25">
      <c r="B4" s="205" t="s">
        <v>141</v>
      </c>
      <c r="C4" s="205"/>
      <c r="D4" s="205"/>
      <c r="E4" s="205"/>
      <c r="F4" s="205"/>
      <c r="G4" s="205"/>
      <c r="H4" s="205"/>
    </row>
    <row r="5" spans="2:8" x14ac:dyDescent="0.25">
      <c r="B5" s="206" t="s">
        <v>142</v>
      </c>
      <c r="C5" s="206"/>
      <c r="D5" s="206"/>
      <c r="E5" s="206"/>
      <c r="F5" s="206"/>
      <c r="G5" s="206"/>
      <c r="H5" s="206"/>
    </row>
    <row r="6" spans="2:8" ht="45.6" customHeight="1" x14ac:dyDescent="0.25">
      <c r="B6" s="207" t="s">
        <v>143</v>
      </c>
      <c r="C6" s="207"/>
      <c r="D6" s="207"/>
      <c r="E6" s="207"/>
      <c r="F6" s="207"/>
      <c r="G6" s="207"/>
      <c r="H6" s="207"/>
    </row>
    <row r="7" spans="2:8" ht="15.75" thickBot="1" x14ac:dyDescent="0.3">
      <c r="B7" s="42"/>
      <c r="C7" s="42"/>
      <c r="D7" s="42"/>
      <c r="E7" s="42"/>
      <c r="F7" s="42"/>
    </row>
    <row r="8" spans="2:8" ht="30.75" thickBot="1" x14ac:dyDescent="0.3">
      <c r="B8" s="86" t="s">
        <v>144</v>
      </c>
      <c r="C8" s="91" t="s">
        <v>145</v>
      </c>
      <c r="D8" s="92" t="s">
        <v>146</v>
      </c>
      <c r="E8" s="92" t="s">
        <v>147</v>
      </c>
      <c r="F8" s="92" t="s">
        <v>148</v>
      </c>
      <c r="G8" s="92" t="s">
        <v>149</v>
      </c>
      <c r="H8" s="93" t="s">
        <v>150</v>
      </c>
    </row>
    <row r="9" spans="2:8" ht="45" x14ac:dyDescent="0.25">
      <c r="B9" s="214" t="s">
        <v>151</v>
      </c>
      <c r="C9" s="210" t="s">
        <v>152</v>
      </c>
      <c r="D9" s="89" t="s">
        <v>153</v>
      </c>
      <c r="E9" s="87"/>
      <c r="F9" s="44"/>
      <c r="G9" s="212">
        <v>14</v>
      </c>
      <c r="H9" s="45"/>
    </row>
    <row r="10" spans="2:8" ht="30.75" thickBot="1" x14ac:dyDescent="0.3">
      <c r="B10" s="214"/>
      <c r="C10" s="211"/>
      <c r="D10" s="90" t="s">
        <v>154</v>
      </c>
      <c r="E10" s="88"/>
      <c r="F10" s="47"/>
      <c r="G10" s="213"/>
      <c r="H10" s="48"/>
    </row>
    <row r="11" spans="2:8" ht="60" x14ac:dyDescent="0.25">
      <c r="B11" s="215"/>
      <c r="C11" s="208" t="s">
        <v>155</v>
      </c>
      <c r="D11" s="96" t="s">
        <v>156</v>
      </c>
      <c r="E11" s="94"/>
      <c r="F11" s="84"/>
      <c r="G11" s="209">
        <v>10</v>
      </c>
      <c r="H11" s="85"/>
    </row>
    <row r="12" spans="2:8" ht="30" x14ac:dyDescent="0.25">
      <c r="B12" s="215"/>
      <c r="C12" s="208"/>
      <c r="D12" s="96" t="s">
        <v>157</v>
      </c>
      <c r="E12" s="94"/>
      <c r="F12" s="84"/>
      <c r="G12" s="209"/>
      <c r="H12" s="85"/>
    </row>
    <row r="13" spans="2:8" ht="30" x14ac:dyDescent="0.25">
      <c r="B13" s="215"/>
      <c r="C13" s="208"/>
      <c r="D13" s="97" t="s">
        <v>158</v>
      </c>
      <c r="E13" s="95"/>
      <c r="F13" s="43"/>
      <c r="G13" s="209"/>
      <c r="H13" s="46"/>
    </row>
    <row r="14" spans="2:8" ht="48" customHeight="1" x14ac:dyDescent="0.25">
      <c r="B14" s="215"/>
      <c r="C14" s="208"/>
      <c r="D14" s="97" t="s">
        <v>159</v>
      </c>
      <c r="E14" s="95"/>
      <c r="F14" s="43"/>
      <c r="G14" s="209"/>
      <c r="H14" s="46"/>
    </row>
    <row r="15" spans="2:8" ht="30" x14ac:dyDescent="0.25">
      <c r="B15" s="215"/>
      <c r="C15" s="208"/>
      <c r="D15" s="98" t="s">
        <v>160</v>
      </c>
      <c r="E15" s="95"/>
      <c r="F15" s="43"/>
      <c r="G15" s="209"/>
      <c r="H15" s="46"/>
    </row>
    <row r="16" spans="2:8" ht="60.6" customHeight="1" x14ac:dyDescent="0.25">
      <c r="B16" s="215"/>
      <c r="C16" s="208"/>
      <c r="D16" s="98" t="s">
        <v>161</v>
      </c>
      <c r="E16" s="95"/>
      <c r="F16" s="43"/>
      <c r="G16" s="209"/>
      <c r="H16" s="46"/>
    </row>
    <row r="17" spans="2:8" ht="15.75" thickBot="1" x14ac:dyDescent="0.3">
      <c r="B17" s="215"/>
      <c r="C17" s="208"/>
      <c r="D17" s="99" t="s">
        <v>162</v>
      </c>
      <c r="E17" s="95"/>
      <c r="F17" s="43"/>
      <c r="G17" s="209"/>
      <c r="H17" s="46"/>
    </row>
    <row r="18" spans="2:8" ht="105.75" thickBot="1" x14ac:dyDescent="0.3">
      <c r="B18" s="215"/>
      <c r="C18" s="101" t="s">
        <v>163</v>
      </c>
      <c r="D18" s="102" t="s">
        <v>164</v>
      </c>
      <c r="E18" s="44"/>
      <c r="F18" s="100"/>
      <c r="G18" s="71">
        <v>7.5</v>
      </c>
      <c r="H18" s="45"/>
    </row>
    <row r="19" spans="2:8" ht="30.75" thickBot="1" x14ac:dyDescent="0.3">
      <c r="B19" s="215"/>
      <c r="C19" s="101" t="s">
        <v>165</v>
      </c>
      <c r="D19" s="102" t="s">
        <v>166</v>
      </c>
      <c r="E19" s="51"/>
      <c r="F19" s="44"/>
      <c r="G19" s="71">
        <v>9</v>
      </c>
      <c r="H19" s="45"/>
    </row>
    <row r="20" spans="2:8" ht="90.75" thickBot="1" x14ac:dyDescent="0.3">
      <c r="B20" s="63" t="s">
        <v>167</v>
      </c>
      <c r="C20" s="103" t="s">
        <v>168</v>
      </c>
      <c r="D20" s="52" t="s">
        <v>169</v>
      </c>
      <c r="E20" s="53"/>
      <c r="F20" s="53"/>
      <c r="G20" s="70">
        <v>10</v>
      </c>
      <c r="H20" s="54"/>
    </row>
    <row r="21" spans="2:8" ht="90.75" thickBot="1" x14ac:dyDescent="0.3">
      <c r="B21" s="62" t="s">
        <v>170</v>
      </c>
      <c r="C21" s="104" t="s">
        <v>171</v>
      </c>
      <c r="D21" s="55" t="s">
        <v>172</v>
      </c>
      <c r="E21" s="56"/>
      <c r="F21" s="56"/>
      <c r="G21" s="71">
        <v>1</v>
      </c>
      <c r="H21" s="57"/>
    </row>
    <row r="22" spans="2:8" ht="35.450000000000003" customHeight="1" x14ac:dyDescent="0.25">
      <c r="B22" s="193" t="s">
        <v>173</v>
      </c>
      <c r="C22" s="195" t="s">
        <v>174</v>
      </c>
      <c r="D22" s="59" t="s">
        <v>175</v>
      </c>
      <c r="E22" s="44"/>
      <c r="F22" s="44"/>
      <c r="G22" s="69">
        <v>0.25</v>
      </c>
      <c r="H22" s="45"/>
    </row>
    <row r="23" spans="2:8" ht="35.450000000000003" customHeight="1" thickBot="1" x14ac:dyDescent="0.3">
      <c r="B23" s="194"/>
      <c r="C23" s="196"/>
      <c r="D23" s="60" t="s">
        <v>176</v>
      </c>
      <c r="E23" s="49"/>
      <c r="F23" s="49"/>
      <c r="G23" s="72">
        <v>0.25</v>
      </c>
      <c r="H23" s="50"/>
    </row>
    <row r="24" spans="2:8" ht="45" x14ac:dyDescent="0.25">
      <c r="B24" s="197" t="s">
        <v>177</v>
      </c>
      <c r="C24" s="200" t="s">
        <v>178</v>
      </c>
      <c r="D24" s="61" t="s">
        <v>179</v>
      </c>
      <c r="E24" s="44"/>
      <c r="F24" s="44"/>
      <c r="G24" s="69">
        <v>0.5</v>
      </c>
      <c r="H24" s="45"/>
    </row>
    <row r="25" spans="2:8" ht="45" x14ac:dyDescent="0.25">
      <c r="B25" s="198"/>
      <c r="C25" s="201"/>
      <c r="D25" s="41" t="s">
        <v>180</v>
      </c>
      <c r="E25" s="43"/>
      <c r="F25" s="43"/>
      <c r="G25" s="15">
        <v>0.5</v>
      </c>
      <c r="H25" s="46"/>
    </row>
    <row r="26" spans="2:8" ht="60" x14ac:dyDescent="0.25">
      <c r="B26" s="198"/>
      <c r="C26" s="201"/>
      <c r="D26" s="41" t="s">
        <v>181</v>
      </c>
      <c r="E26" s="43"/>
      <c r="F26" s="43"/>
      <c r="G26" s="15">
        <v>0.5</v>
      </c>
      <c r="H26" s="46"/>
    </row>
    <row r="27" spans="2:8" ht="45" x14ac:dyDescent="0.25">
      <c r="B27" s="198"/>
      <c r="C27" s="201"/>
      <c r="D27" s="41" t="s">
        <v>182</v>
      </c>
      <c r="E27" s="43"/>
      <c r="F27" s="43"/>
      <c r="G27" s="15">
        <v>0.5</v>
      </c>
      <c r="H27" s="46"/>
    </row>
    <row r="28" spans="2:8" ht="60" x14ac:dyDescent="0.25">
      <c r="B28" s="198"/>
      <c r="C28" s="201"/>
      <c r="D28" s="41" t="s">
        <v>183</v>
      </c>
      <c r="E28" s="43"/>
      <c r="F28" s="43"/>
      <c r="G28" s="15">
        <v>0.5</v>
      </c>
      <c r="H28" s="46"/>
    </row>
    <row r="29" spans="2:8" ht="60.75" thickBot="1" x14ac:dyDescent="0.3">
      <c r="B29" s="199"/>
      <c r="C29" s="202"/>
      <c r="D29" s="64" t="s">
        <v>184</v>
      </c>
      <c r="E29" s="49"/>
      <c r="F29" s="49"/>
      <c r="G29" s="72">
        <v>0.5</v>
      </c>
      <c r="H29" s="48"/>
    </row>
    <row r="30" spans="2:8" x14ac:dyDescent="0.25">
      <c r="B30" s="203" t="s">
        <v>185</v>
      </c>
      <c r="C30" s="204"/>
      <c r="D30" s="204"/>
      <c r="E30" s="204"/>
      <c r="F30" s="204"/>
      <c r="G30" s="65">
        <f>SUM(G9:G29)</f>
        <v>55</v>
      </c>
    </row>
    <row r="31" spans="2:8" x14ac:dyDescent="0.25">
      <c r="B31" s="187" t="s">
        <v>186</v>
      </c>
      <c r="C31" s="188"/>
      <c r="D31" s="188"/>
      <c r="E31" s="188"/>
      <c r="F31" s="188"/>
      <c r="G31" s="73"/>
    </row>
    <row r="32" spans="2:8" ht="15.75" thickBot="1" x14ac:dyDescent="0.3">
      <c r="B32" s="189" t="s">
        <v>187</v>
      </c>
      <c r="C32" s="190"/>
      <c r="D32" s="190"/>
      <c r="E32" s="190"/>
      <c r="F32" s="190"/>
      <c r="G32" s="66">
        <f>SUM(G30:G31)</f>
        <v>55</v>
      </c>
    </row>
    <row r="33" spans="2:7" ht="5.45" customHeight="1" thickBot="1" x14ac:dyDescent="0.3"/>
    <row r="34" spans="2:7" ht="15.75" thickBot="1" x14ac:dyDescent="0.3">
      <c r="B34" s="191" t="s">
        <v>188</v>
      </c>
      <c r="C34" s="192"/>
      <c r="D34" s="192"/>
      <c r="E34" s="192"/>
      <c r="F34" s="192"/>
      <c r="G34" s="67"/>
    </row>
    <row r="35" spans="2:7" ht="5.45" customHeight="1" thickBot="1" x14ac:dyDescent="0.3"/>
    <row r="36" spans="2:7" ht="15.75" thickBot="1" x14ac:dyDescent="0.3">
      <c r="B36" s="191" t="s">
        <v>189</v>
      </c>
      <c r="C36" s="192"/>
      <c r="D36" s="192"/>
      <c r="E36" s="192"/>
      <c r="F36" s="192"/>
      <c r="G36" s="68">
        <f>+G32-G34</f>
        <v>55</v>
      </c>
    </row>
    <row r="37" spans="2:7" x14ac:dyDescent="0.25">
      <c r="D37" s="58"/>
    </row>
  </sheetData>
  <mergeCells count="17">
    <mergeCell ref="B4:H4"/>
    <mergeCell ref="B5:H5"/>
    <mergeCell ref="B6:H6"/>
    <mergeCell ref="C11:C17"/>
    <mergeCell ref="G11:G17"/>
    <mergeCell ref="C9:C10"/>
    <mergeCell ref="G9:G10"/>
    <mergeCell ref="B9:B19"/>
    <mergeCell ref="B31:F31"/>
    <mergeCell ref="B32:F32"/>
    <mergeCell ref="B34:F34"/>
    <mergeCell ref="B36:F36"/>
    <mergeCell ref="B22:B23"/>
    <mergeCell ref="C22:C23"/>
    <mergeCell ref="B24:B29"/>
    <mergeCell ref="C24:C29"/>
    <mergeCell ref="B30:F30"/>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58"/>
  <sheetViews>
    <sheetView topLeftCell="A31" zoomScale="80" zoomScaleNormal="80" workbookViewId="0">
      <selection activeCell="C52" sqref="C52"/>
    </sheetView>
  </sheetViews>
  <sheetFormatPr baseColWidth="10" defaultColWidth="9.140625" defaultRowHeight="15" x14ac:dyDescent="0.25"/>
  <cols>
    <col min="1" max="1" width="55.7109375" customWidth="1"/>
    <col min="2" max="2" width="22" customWidth="1"/>
    <col min="3" max="3" width="24.42578125" customWidth="1"/>
    <col min="4" max="4" width="95.28515625" customWidth="1"/>
    <col min="255" max="255" width="55.7109375" customWidth="1"/>
    <col min="256" max="256" width="22" customWidth="1"/>
    <col min="257" max="257" width="24.42578125" customWidth="1"/>
    <col min="258" max="258" width="27.7109375" customWidth="1"/>
    <col min="259" max="259" width="33.7109375" customWidth="1"/>
    <col min="260" max="260" width="95.28515625" customWidth="1"/>
    <col min="511" max="511" width="55.7109375" customWidth="1"/>
    <col min="512" max="512" width="22" customWidth="1"/>
    <col min="513" max="513" width="24.42578125" customWidth="1"/>
    <col min="514" max="514" width="27.7109375" customWidth="1"/>
    <col min="515" max="515" width="33.7109375" customWidth="1"/>
    <col min="516" max="516" width="95.28515625" customWidth="1"/>
    <col min="767" max="767" width="55.7109375" customWidth="1"/>
    <col min="768" max="768" width="22" customWidth="1"/>
    <col min="769" max="769" width="24.42578125" customWidth="1"/>
    <col min="770" max="770" width="27.7109375" customWidth="1"/>
    <col min="771" max="771" width="33.7109375" customWidth="1"/>
    <col min="772" max="772" width="95.28515625" customWidth="1"/>
    <col min="1023" max="1023" width="55.7109375" customWidth="1"/>
    <col min="1024" max="1024" width="22" customWidth="1"/>
    <col min="1025" max="1025" width="24.42578125" customWidth="1"/>
    <col min="1026" max="1026" width="27.7109375" customWidth="1"/>
    <col min="1027" max="1027" width="33.7109375" customWidth="1"/>
    <col min="1028" max="1028" width="95.28515625" customWidth="1"/>
    <col min="1279" max="1279" width="55.7109375" customWidth="1"/>
    <col min="1280" max="1280" width="22" customWidth="1"/>
    <col min="1281" max="1281" width="24.42578125" customWidth="1"/>
    <col min="1282" max="1282" width="27.7109375" customWidth="1"/>
    <col min="1283" max="1283" width="33.7109375" customWidth="1"/>
    <col min="1284" max="1284" width="95.28515625" customWidth="1"/>
    <col min="1535" max="1535" width="55.7109375" customWidth="1"/>
    <col min="1536" max="1536" width="22" customWidth="1"/>
    <col min="1537" max="1537" width="24.42578125" customWidth="1"/>
    <col min="1538" max="1538" width="27.7109375" customWidth="1"/>
    <col min="1539" max="1539" width="33.7109375" customWidth="1"/>
    <col min="1540" max="1540" width="95.28515625" customWidth="1"/>
    <col min="1791" max="1791" width="55.7109375" customWidth="1"/>
    <col min="1792" max="1792" width="22" customWidth="1"/>
    <col min="1793" max="1793" width="24.42578125" customWidth="1"/>
    <col min="1794" max="1794" width="27.7109375" customWidth="1"/>
    <col min="1795" max="1795" width="33.7109375" customWidth="1"/>
    <col min="1796" max="1796" width="95.28515625" customWidth="1"/>
    <col min="2047" max="2047" width="55.7109375" customWidth="1"/>
    <col min="2048" max="2048" width="22" customWidth="1"/>
    <col min="2049" max="2049" width="24.42578125" customWidth="1"/>
    <col min="2050" max="2050" width="27.7109375" customWidth="1"/>
    <col min="2051" max="2051" width="33.7109375" customWidth="1"/>
    <col min="2052" max="2052" width="95.28515625" customWidth="1"/>
    <col min="2303" max="2303" width="55.7109375" customWidth="1"/>
    <col min="2304" max="2304" width="22" customWidth="1"/>
    <col min="2305" max="2305" width="24.42578125" customWidth="1"/>
    <col min="2306" max="2306" width="27.7109375" customWidth="1"/>
    <col min="2307" max="2307" width="33.7109375" customWidth="1"/>
    <col min="2308" max="2308" width="95.28515625" customWidth="1"/>
    <col min="2559" max="2559" width="55.7109375" customWidth="1"/>
    <col min="2560" max="2560" width="22" customWidth="1"/>
    <col min="2561" max="2561" width="24.42578125" customWidth="1"/>
    <col min="2562" max="2562" width="27.7109375" customWidth="1"/>
    <col min="2563" max="2563" width="33.7109375" customWidth="1"/>
    <col min="2564" max="2564" width="95.28515625" customWidth="1"/>
    <col min="2815" max="2815" width="55.7109375" customWidth="1"/>
    <col min="2816" max="2816" width="22" customWidth="1"/>
    <col min="2817" max="2817" width="24.42578125" customWidth="1"/>
    <col min="2818" max="2818" width="27.7109375" customWidth="1"/>
    <col min="2819" max="2819" width="33.7109375" customWidth="1"/>
    <col min="2820" max="2820" width="95.28515625" customWidth="1"/>
    <col min="3071" max="3071" width="55.7109375" customWidth="1"/>
    <col min="3072" max="3072" width="22" customWidth="1"/>
    <col min="3073" max="3073" width="24.42578125" customWidth="1"/>
    <col min="3074" max="3074" width="27.7109375" customWidth="1"/>
    <col min="3075" max="3075" width="33.7109375" customWidth="1"/>
    <col min="3076" max="3076" width="95.28515625" customWidth="1"/>
    <col min="3327" max="3327" width="55.7109375" customWidth="1"/>
    <col min="3328" max="3328" width="22" customWidth="1"/>
    <col min="3329" max="3329" width="24.42578125" customWidth="1"/>
    <col min="3330" max="3330" width="27.7109375" customWidth="1"/>
    <col min="3331" max="3331" width="33.7109375" customWidth="1"/>
    <col min="3332" max="3332" width="95.28515625" customWidth="1"/>
    <col min="3583" max="3583" width="55.7109375" customWidth="1"/>
    <col min="3584" max="3584" width="22" customWidth="1"/>
    <col min="3585" max="3585" width="24.42578125" customWidth="1"/>
    <col min="3586" max="3586" width="27.7109375" customWidth="1"/>
    <col min="3587" max="3587" width="33.7109375" customWidth="1"/>
    <col min="3588" max="3588" width="95.28515625" customWidth="1"/>
    <col min="3839" max="3839" width="55.7109375" customWidth="1"/>
    <col min="3840" max="3840" width="22" customWidth="1"/>
    <col min="3841" max="3841" width="24.42578125" customWidth="1"/>
    <col min="3842" max="3842" width="27.7109375" customWidth="1"/>
    <col min="3843" max="3843" width="33.7109375" customWidth="1"/>
    <col min="3844" max="3844" width="95.28515625" customWidth="1"/>
    <col min="4095" max="4095" width="55.7109375" customWidth="1"/>
    <col min="4096" max="4096" width="22" customWidth="1"/>
    <col min="4097" max="4097" width="24.42578125" customWidth="1"/>
    <col min="4098" max="4098" width="27.7109375" customWidth="1"/>
    <col min="4099" max="4099" width="33.7109375" customWidth="1"/>
    <col min="4100" max="4100" width="95.28515625" customWidth="1"/>
    <col min="4351" max="4351" width="55.7109375" customWidth="1"/>
    <col min="4352" max="4352" width="22" customWidth="1"/>
    <col min="4353" max="4353" width="24.42578125" customWidth="1"/>
    <col min="4354" max="4354" width="27.7109375" customWidth="1"/>
    <col min="4355" max="4355" width="33.7109375" customWidth="1"/>
    <col min="4356" max="4356" width="95.28515625" customWidth="1"/>
    <col min="4607" max="4607" width="55.7109375" customWidth="1"/>
    <col min="4608" max="4608" width="22" customWidth="1"/>
    <col min="4609" max="4609" width="24.42578125" customWidth="1"/>
    <col min="4610" max="4610" width="27.7109375" customWidth="1"/>
    <col min="4611" max="4611" width="33.7109375" customWidth="1"/>
    <col min="4612" max="4612" width="95.28515625" customWidth="1"/>
    <col min="4863" max="4863" width="55.7109375" customWidth="1"/>
    <col min="4864" max="4864" width="22" customWidth="1"/>
    <col min="4865" max="4865" width="24.42578125" customWidth="1"/>
    <col min="4866" max="4866" width="27.7109375" customWidth="1"/>
    <col min="4867" max="4867" width="33.7109375" customWidth="1"/>
    <col min="4868" max="4868" width="95.28515625" customWidth="1"/>
    <col min="5119" max="5119" width="55.7109375" customWidth="1"/>
    <col min="5120" max="5120" width="22" customWidth="1"/>
    <col min="5121" max="5121" width="24.42578125" customWidth="1"/>
    <col min="5122" max="5122" width="27.7109375" customWidth="1"/>
    <col min="5123" max="5123" width="33.7109375" customWidth="1"/>
    <col min="5124" max="5124" width="95.28515625" customWidth="1"/>
    <col min="5375" max="5375" width="55.7109375" customWidth="1"/>
    <col min="5376" max="5376" width="22" customWidth="1"/>
    <col min="5377" max="5377" width="24.42578125" customWidth="1"/>
    <col min="5378" max="5378" width="27.7109375" customWidth="1"/>
    <col min="5379" max="5379" width="33.7109375" customWidth="1"/>
    <col min="5380" max="5380" width="95.28515625" customWidth="1"/>
    <col min="5631" max="5631" width="55.7109375" customWidth="1"/>
    <col min="5632" max="5632" width="22" customWidth="1"/>
    <col min="5633" max="5633" width="24.42578125" customWidth="1"/>
    <col min="5634" max="5634" width="27.7109375" customWidth="1"/>
    <col min="5635" max="5635" width="33.7109375" customWidth="1"/>
    <col min="5636" max="5636" width="95.28515625" customWidth="1"/>
    <col min="5887" max="5887" width="55.7109375" customWidth="1"/>
    <col min="5888" max="5888" width="22" customWidth="1"/>
    <col min="5889" max="5889" width="24.42578125" customWidth="1"/>
    <col min="5890" max="5890" width="27.7109375" customWidth="1"/>
    <col min="5891" max="5891" width="33.7109375" customWidth="1"/>
    <col min="5892" max="5892" width="95.28515625" customWidth="1"/>
    <col min="6143" max="6143" width="55.7109375" customWidth="1"/>
    <col min="6144" max="6144" width="22" customWidth="1"/>
    <col min="6145" max="6145" width="24.42578125" customWidth="1"/>
    <col min="6146" max="6146" width="27.7109375" customWidth="1"/>
    <col min="6147" max="6147" width="33.7109375" customWidth="1"/>
    <col min="6148" max="6148" width="95.28515625" customWidth="1"/>
    <col min="6399" max="6399" width="55.7109375" customWidth="1"/>
    <col min="6400" max="6400" width="22" customWidth="1"/>
    <col min="6401" max="6401" width="24.42578125" customWidth="1"/>
    <col min="6402" max="6402" width="27.7109375" customWidth="1"/>
    <col min="6403" max="6403" width="33.7109375" customWidth="1"/>
    <col min="6404" max="6404" width="95.28515625" customWidth="1"/>
    <col min="6655" max="6655" width="55.7109375" customWidth="1"/>
    <col min="6656" max="6656" width="22" customWidth="1"/>
    <col min="6657" max="6657" width="24.42578125" customWidth="1"/>
    <col min="6658" max="6658" width="27.7109375" customWidth="1"/>
    <col min="6659" max="6659" width="33.7109375" customWidth="1"/>
    <col min="6660" max="6660" width="95.28515625" customWidth="1"/>
    <col min="6911" max="6911" width="55.7109375" customWidth="1"/>
    <col min="6912" max="6912" width="22" customWidth="1"/>
    <col min="6913" max="6913" width="24.42578125" customWidth="1"/>
    <col min="6914" max="6914" width="27.7109375" customWidth="1"/>
    <col min="6915" max="6915" width="33.7109375" customWidth="1"/>
    <col min="6916" max="6916" width="95.28515625" customWidth="1"/>
    <col min="7167" max="7167" width="55.7109375" customWidth="1"/>
    <col min="7168" max="7168" width="22" customWidth="1"/>
    <col min="7169" max="7169" width="24.42578125" customWidth="1"/>
    <col min="7170" max="7170" width="27.7109375" customWidth="1"/>
    <col min="7171" max="7171" width="33.7109375" customWidth="1"/>
    <col min="7172" max="7172" width="95.28515625" customWidth="1"/>
    <col min="7423" max="7423" width="55.7109375" customWidth="1"/>
    <col min="7424" max="7424" width="22" customWidth="1"/>
    <col min="7425" max="7425" width="24.42578125" customWidth="1"/>
    <col min="7426" max="7426" width="27.7109375" customWidth="1"/>
    <col min="7427" max="7427" width="33.7109375" customWidth="1"/>
    <col min="7428" max="7428" width="95.28515625" customWidth="1"/>
    <col min="7679" max="7679" width="55.7109375" customWidth="1"/>
    <col min="7680" max="7680" width="22" customWidth="1"/>
    <col min="7681" max="7681" width="24.42578125" customWidth="1"/>
    <col min="7682" max="7682" width="27.7109375" customWidth="1"/>
    <col min="7683" max="7683" width="33.7109375" customWidth="1"/>
    <col min="7684" max="7684" width="95.28515625" customWidth="1"/>
    <col min="7935" max="7935" width="55.7109375" customWidth="1"/>
    <col min="7936" max="7936" width="22" customWidth="1"/>
    <col min="7937" max="7937" width="24.42578125" customWidth="1"/>
    <col min="7938" max="7938" width="27.7109375" customWidth="1"/>
    <col min="7939" max="7939" width="33.7109375" customWidth="1"/>
    <col min="7940" max="7940" width="95.28515625" customWidth="1"/>
    <col min="8191" max="8191" width="55.7109375" customWidth="1"/>
    <col min="8192" max="8192" width="22" customWidth="1"/>
    <col min="8193" max="8193" width="24.42578125" customWidth="1"/>
    <col min="8194" max="8194" width="27.7109375" customWidth="1"/>
    <col min="8195" max="8195" width="33.7109375" customWidth="1"/>
    <col min="8196" max="8196" width="95.28515625" customWidth="1"/>
    <col min="8447" max="8447" width="55.7109375" customWidth="1"/>
    <col min="8448" max="8448" width="22" customWidth="1"/>
    <col min="8449" max="8449" width="24.42578125" customWidth="1"/>
    <col min="8450" max="8450" width="27.7109375" customWidth="1"/>
    <col min="8451" max="8451" width="33.7109375" customWidth="1"/>
    <col min="8452" max="8452" width="95.28515625" customWidth="1"/>
    <col min="8703" max="8703" width="55.7109375" customWidth="1"/>
    <col min="8704" max="8704" width="22" customWidth="1"/>
    <col min="8705" max="8705" width="24.42578125" customWidth="1"/>
    <col min="8706" max="8706" width="27.7109375" customWidth="1"/>
    <col min="8707" max="8707" width="33.7109375" customWidth="1"/>
    <col min="8708" max="8708" width="95.28515625" customWidth="1"/>
    <col min="8959" max="8959" width="55.7109375" customWidth="1"/>
    <col min="8960" max="8960" width="22" customWidth="1"/>
    <col min="8961" max="8961" width="24.42578125" customWidth="1"/>
    <col min="8962" max="8962" width="27.7109375" customWidth="1"/>
    <col min="8963" max="8963" width="33.7109375" customWidth="1"/>
    <col min="8964" max="8964" width="95.28515625" customWidth="1"/>
    <col min="9215" max="9215" width="55.7109375" customWidth="1"/>
    <col min="9216" max="9216" width="22" customWidth="1"/>
    <col min="9217" max="9217" width="24.42578125" customWidth="1"/>
    <col min="9218" max="9218" width="27.7109375" customWidth="1"/>
    <col min="9219" max="9219" width="33.7109375" customWidth="1"/>
    <col min="9220" max="9220" width="95.28515625" customWidth="1"/>
    <col min="9471" max="9471" width="55.7109375" customWidth="1"/>
    <col min="9472" max="9472" width="22" customWidth="1"/>
    <col min="9473" max="9473" width="24.42578125" customWidth="1"/>
    <col min="9474" max="9474" width="27.7109375" customWidth="1"/>
    <col min="9475" max="9475" width="33.7109375" customWidth="1"/>
    <col min="9476" max="9476" width="95.28515625" customWidth="1"/>
    <col min="9727" max="9727" width="55.7109375" customWidth="1"/>
    <col min="9728" max="9728" width="22" customWidth="1"/>
    <col min="9729" max="9729" width="24.42578125" customWidth="1"/>
    <col min="9730" max="9730" width="27.7109375" customWidth="1"/>
    <col min="9731" max="9731" width="33.7109375" customWidth="1"/>
    <col min="9732" max="9732" width="95.28515625" customWidth="1"/>
    <col min="9983" max="9983" width="55.7109375" customWidth="1"/>
    <col min="9984" max="9984" width="22" customWidth="1"/>
    <col min="9985" max="9985" width="24.42578125" customWidth="1"/>
    <col min="9986" max="9986" width="27.7109375" customWidth="1"/>
    <col min="9987" max="9987" width="33.7109375" customWidth="1"/>
    <col min="9988" max="9988" width="95.28515625" customWidth="1"/>
    <col min="10239" max="10239" width="55.7109375" customWidth="1"/>
    <col min="10240" max="10240" width="22" customWidth="1"/>
    <col min="10241" max="10241" width="24.42578125" customWidth="1"/>
    <col min="10242" max="10242" width="27.7109375" customWidth="1"/>
    <col min="10243" max="10243" width="33.7109375" customWidth="1"/>
    <col min="10244" max="10244" width="95.28515625" customWidth="1"/>
    <col min="10495" max="10495" width="55.7109375" customWidth="1"/>
    <col min="10496" max="10496" width="22" customWidth="1"/>
    <col min="10497" max="10497" width="24.42578125" customWidth="1"/>
    <col min="10498" max="10498" width="27.7109375" customWidth="1"/>
    <col min="10499" max="10499" width="33.7109375" customWidth="1"/>
    <col min="10500" max="10500" width="95.28515625" customWidth="1"/>
    <col min="10751" max="10751" width="55.7109375" customWidth="1"/>
    <col min="10752" max="10752" width="22" customWidth="1"/>
    <col min="10753" max="10753" width="24.42578125" customWidth="1"/>
    <col min="10754" max="10754" width="27.7109375" customWidth="1"/>
    <col min="10755" max="10755" width="33.7109375" customWidth="1"/>
    <col min="10756" max="10756" width="95.28515625" customWidth="1"/>
    <col min="11007" max="11007" width="55.7109375" customWidth="1"/>
    <col min="11008" max="11008" width="22" customWidth="1"/>
    <col min="11009" max="11009" width="24.42578125" customWidth="1"/>
    <col min="11010" max="11010" width="27.7109375" customWidth="1"/>
    <col min="11011" max="11011" width="33.7109375" customWidth="1"/>
    <col min="11012" max="11012" width="95.28515625" customWidth="1"/>
    <col min="11263" max="11263" width="55.7109375" customWidth="1"/>
    <col min="11264" max="11264" width="22" customWidth="1"/>
    <col min="11265" max="11265" width="24.42578125" customWidth="1"/>
    <col min="11266" max="11266" width="27.7109375" customWidth="1"/>
    <col min="11267" max="11267" width="33.7109375" customWidth="1"/>
    <col min="11268" max="11268" width="95.28515625" customWidth="1"/>
    <col min="11519" max="11519" width="55.7109375" customWidth="1"/>
    <col min="11520" max="11520" width="22" customWidth="1"/>
    <col min="11521" max="11521" width="24.42578125" customWidth="1"/>
    <col min="11522" max="11522" width="27.7109375" customWidth="1"/>
    <col min="11523" max="11523" width="33.7109375" customWidth="1"/>
    <col min="11524" max="11524" width="95.28515625" customWidth="1"/>
    <col min="11775" max="11775" width="55.7109375" customWidth="1"/>
    <col min="11776" max="11776" width="22" customWidth="1"/>
    <col min="11777" max="11777" width="24.42578125" customWidth="1"/>
    <col min="11778" max="11778" width="27.7109375" customWidth="1"/>
    <col min="11779" max="11779" width="33.7109375" customWidth="1"/>
    <col min="11780" max="11780" width="95.28515625" customWidth="1"/>
    <col min="12031" max="12031" width="55.7109375" customWidth="1"/>
    <col min="12032" max="12032" width="22" customWidth="1"/>
    <col min="12033" max="12033" width="24.42578125" customWidth="1"/>
    <col min="12034" max="12034" width="27.7109375" customWidth="1"/>
    <col min="12035" max="12035" width="33.7109375" customWidth="1"/>
    <col min="12036" max="12036" width="95.28515625" customWidth="1"/>
    <col min="12287" max="12287" width="55.7109375" customWidth="1"/>
    <col min="12288" max="12288" width="22" customWidth="1"/>
    <col min="12289" max="12289" width="24.42578125" customWidth="1"/>
    <col min="12290" max="12290" width="27.7109375" customWidth="1"/>
    <col min="12291" max="12291" width="33.7109375" customWidth="1"/>
    <col min="12292" max="12292" width="95.28515625" customWidth="1"/>
    <col min="12543" max="12543" width="55.7109375" customWidth="1"/>
    <col min="12544" max="12544" width="22" customWidth="1"/>
    <col min="12545" max="12545" width="24.42578125" customWidth="1"/>
    <col min="12546" max="12546" width="27.7109375" customWidth="1"/>
    <col min="12547" max="12547" width="33.7109375" customWidth="1"/>
    <col min="12548" max="12548" width="95.28515625" customWidth="1"/>
    <col min="12799" max="12799" width="55.7109375" customWidth="1"/>
    <col min="12800" max="12800" width="22" customWidth="1"/>
    <col min="12801" max="12801" width="24.42578125" customWidth="1"/>
    <col min="12802" max="12802" width="27.7109375" customWidth="1"/>
    <col min="12803" max="12803" width="33.7109375" customWidth="1"/>
    <col min="12804" max="12804" width="95.28515625" customWidth="1"/>
    <col min="13055" max="13055" width="55.7109375" customWidth="1"/>
    <col min="13056" max="13056" width="22" customWidth="1"/>
    <col min="13057" max="13057" width="24.42578125" customWidth="1"/>
    <col min="13058" max="13058" width="27.7109375" customWidth="1"/>
    <col min="13059" max="13059" width="33.7109375" customWidth="1"/>
    <col min="13060" max="13060" width="95.28515625" customWidth="1"/>
    <col min="13311" max="13311" width="55.7109375" customWidth="1"/>
    <col min="13312" max="13312" width="22" customWidth="1"/>
    <col min="13313" max="13313" width="24.42578125" customWidth="1"/>
    <col min="13314" max="13314" width="27.7109375" customWidth="1"/>
    <col min="13315" max="13315" width="33.7109375" customWidth="1"/>
    <col min="13316" max="13316" width="95.28515625" customWidth="1"/>
    <col min="13567" max="13567" width="55.7109375" customWidth="1"/>
    <col min="13568" max="13568" width="22" customWidth="1"/>
    <col min="13569" max="13569" width="24.42578125" customWidth="1"/>
    <col min="13570" max="13570" width="27.7109375" customWidth="1"/>
    <col min="13571" max="13571" width="33.7109375" customWidth="1"/>
    <col min="13572" max="13572" width="95.28515625" customWidth="1"/>
    <col min="13823" max="13823" width="55.7109375" customWidth="1"/>
    <col min="13824" max="13824" width="22" customWidth="1"/>
    <col min="13825" max="13825" width="24.42578125" customWidth="1"/>
    <col min="13826" max="13826" width="27.7109375" customWidth="1"/>
    <col min="13827" max="13827" width="33.7109375" customWidth="1"/>
    <col min="13828" max="13828" width="95.28515625" customWidth="1"/>
    <col min="14079" max="14079" width="55.7109375" customWidth="1"/>
    <col min="14080" max="14080" width="22" customWidth="1"/>
    <col min="14081" max="14081" width="24.42578125" customWidth="1"/>
    <col min="14082" max="14082" width="27.7109375" customWidth="1"/>
    <col min="14083" max="14083" width="33.7109375" customWidth="1"/>
    <col min="14084" max="14084" width="95.28515625" customWidth="1"/>
    <col min="14335" max="14335" width="55.7109375" customWidth="1"/>
    <col min="14336" max="14336" width="22" customWidth="1"/>
    <col min="14337" max="14337" width="24.42578125" customWidth="1"/>
    <col min="14338" max="14338" width="27.7109375" customWidth="1"/>
    <col min="14339" max="14339" width="33.7109375" customWidth="1"/>
    <col min="14340" max="14340" width="95.28515625" customWidth="1"/>
    <col min="14591" max="14591" width="55.7109375" customWidth="1"/>
    <col min="14592" max="14592" width="22" customWidth="1"/>
    <col min="14593" max="14593" width="24.42578125" customWidth="1"/>
    <col min="14594" max="14594" width="27.7109375" customWidth="1"/>
    <col min="14595" max="14595" width="33.7109375" customWidth="1"/>
    <col min="14596" max="14596" width="95.28515625" customWidth="1"/>
    <col min="14847" max="14847" width="55.7109375" customWidth="1"/>
    <col min="14848" max="14848" width="22" customWidth="1"/>
    <col min="14849" max="14849" width="24.42578125" customWidth="1"/>
    <col min="14850" max="14850" width="27.7109375" customWidth="1"/>
    <col min="14851" max="14851" width="33.7109375" customWidth="1"/>
    <col min="14852" max="14852" width="95.28515625" customWidth="1"/>
    <col min="15103" max="15103" width="55.7109375" customWidth="1"/>
    <col min="15104" max="15104" width="22" customWidth="1"/>
    <col min="15105" max="15105" width="24.42578125" customWidth="1"/>
    <col min="15106" max="15106" width="27.7109375" customWidth="1"/>
    <col min="15107" max="15107" width="33.7109375" customWidth="1"/>
    <col min="15108" max="15108" width="95.28515625" customWidth="1"/>
    <col min="15359" max="15359" width="55.7109375" customWidth="1"/>
    <col min="15360" max="15360" width="22" customWidth="1"/>
    <col min="15361" max="15361" width="24.42578125" customWidth="1"/>
    <col min="15362" max="15362" width="27.7109375" customWidth="1"/>
    <col min="15363" max="15363" width="33.7109375" customWidth="1"/>
    <col min="15364" max="15364" width="95.28515625" customWidth="1"/>
    <col min="15615" max="15615" width="55.7109375" customWidth="1"/>
    <col min="15616" max="15616" width="22" customWidth="1"/>
    <col min="15617" max="15617" width="24.42578125" customWidth="1"/>
    <col min="15618" max="15618" width="27.7109375" customWidth="1"/>
    <col min="15619" max="15619" width="33.7109375" customWidth="1"/>
    <col min="15620" max="15620" width="95.28515625" customWidth="1"/>
    <col min="15871" max="15871" width="55.7109375" customWidth="1"/>
    <col min="15872" max="15872" width="22" customWidth="1"/>
    <col min="15873" max="15873" width="24.42578125" customWidth="1"/>
    <col min="15874" max="15874" width="27.7109375" customWidth="1"/>
    <col min="15875" max="15875" width="33.7109375" customWidth="1"/>
    <col min="15876" max="15876" width="95.28515625" customWidth="1"/>
    <col min="16127" max="16127" width="55.7109375" customWidth="1"/>
    <col min="16128" max="16128" width="22" customWidth="1"/>
    <col min="16129" max="16129" width="24.42578125" customWidth="1"/>
    <col min="16130" max="16130" width="27.7109375" customWidth="1"/>
    <col min="16131" max="16131" width="33.7109375" customWidth="1"/>
    <col min="16132" max="16132" width="95.28515625" customWidth="1"/>
  </cols>
  <sheetData>
    <row r="1" spans="1:4" x14ac:dyDescent="0.25">
      <c r="A1" s="216" t="s">
        <v>190</v>
      </c>
      <c r="B1" s="216"/>
      <c r="C1" s="216"/>
      <c r="D1" s="216"/>
    </row>
    <row r="2" spans="1:4" ht="15.75" thickBot="1" x14ac:dyDescent="0.3">
      <c r="A2" s="217" t="s">
        <v>191</v>
      </c>
      <c r="B2" s="217"/>
      <c r="C2" s="217"/>
      <c r="D2" s="217"/>
    </row>
    <row r="3" spans="1:4" ht="15.75" thickTop="1" x14ac:dyDescent="0.25">
      <c r="A3" s="1" t="s">
        <v>192</v>
      </c>
    </row>
    <row r="4" spans="1:4" x14ac:dyDescent="0.25">
      <c r="A4" s="2" t="s">
        <v>193</v>
      </c>
    </row>
    <row r="5" spans="1:4" x14ac:dyDescent="0.25">
      <c r="A5" s="2" t="s">
        <v>192</v>
      </c>
    </row>
    <row r="6" spans="1:4" x14ac:dyDescent="0.25">
      <c r="A6" s="2"/>
    </row>
    <row r="7" spans="1:4" x14ac:dyDescent="0.25">
      <c r="A7" s="1" t="s">
        <v>192</v>
      </c>
    </row>
    <row r="8" spans="1:4" x14ac:dyDescent="0.25">
      <c r="A8" s="114" t="s">
        <v>194</v>
      </c>
      <c r="B8" s="114" t="s">
        <v>195</v>
      </c>
      <c r="C8" s="114" t="s">
        <v>196</v>
      </c>
    </row>
    <row r="9" spans="1:4" x14ac:dyDescent="0.25">
      <c r="A9" s="115">
        <v>1984</v>
      </c>
      <c r="B9" s="116">
        <v>376.6</v>
      </c>
      <c r="C9" s="116">
        <v>11298</v>
      </c>
    </row>
    <row r="10" spans="1:4" x14ac:dyDescent="0.25">
      <c r="A10" s="115">
        <v>1985</v>
      </c>
      <c r="B10" s="117">
        <v>451.92</v>
      </c>
      <c r="C10" s="117">
        <v>13558</v>
      </c>
    </row>
    <row r="11" spans="1:4" x14ac:dyDescent="0.25">
      <c r="A11" s="115">
        <v>1986</v>
      </c>
      <c r="B11" s="116">
        <v>560.38</v>
      </c>
      <c r="C11" s="116">
        <v>16811</v>
      </c>
    </row>
    <row r="12" spans="1:4" x14ac:dyDescent="0.25">
      <c r="A12" s="115">
        <v>1987</v>
      </c>
      <c r="B12" s="117">
        <v>683.66</v>
      </c>
      <c r="C12" s="117">
        <v>20510</v>
      </c>
    </row>
    <row r="13" spans="1:4" x14ac:dyDescent="0.25">
      <c r="A13" s="115">
        <v>1988</v>
      </c>
      <c r="B13" s="116">
        <v>854.58</v>
      </c>
      <c r="C13" s="116">
        <v>25637</v>
      </c>
    </row>
    <row r="14" spans="1:4" x14ac:dyDescent="0.25">
      <c r="A14" s="115">
        <v>1989</v>
      </c>
      <c r="B14" s="117">
        <v>1085.32</v>
      </c>
      <c r="C14" s="117">
        <v>32560</v>
      </c>
    </row>
    <row r="15" spans="1:4" x14ac:dyDescent="0.25">
      <c r="A15" s="115">
        <v>1990</v>
      </c>
      <c r="B15" s="116">
        <v>1367.5</v>
      </c>
      <c r="C15" s="116">
        <v>41025</v>
      </c>
    </row>
    <row r="16" spans="1:4" x14ac:dyDescent="0.25">
      <c r="A16" s="115">
        <v>1991</v>
      </c>
      <c r="B16" s="117">
        <v>1723.87</v>
      </c>
      <c r="C16" s="117">
        <v>51716</v>
      </c>
    </row>
    <row r="17" spans="1:3" x14ac:dyDescent="0.25">
      <c r="A17" s="115">
        <v>1992</v>
      </c>
      <c r="B17" s="116">
        <v>2173</v>
      </c>
      <c r="C17" s="116">
        <v>65190</v>
      </c>
    </row>
    <row r="18" spans="1:3" x14ac:dyDescent="0.25">
      <c r="A18" s="115">
        <v>1993</v>
      </c>
      <c r="B18" s="117">
        <v>2717</v>
      </c>
      <c r="C18" s="117">
        <v>81510</v>
      </c>
    </row>
    <row r="19" spans="1:3" x14ac:dyDescent="0.25">
      <c r="A19" s="115">
        <v>1994</v>
      </c>
      <c r="B19" s="116">
        <v>3290</v>
      </c>
      <c r="C19" s="116">
        <v>98700</v>
      </c>
    </row>
    <row r="20" spans="1:3" x14ac:dyDescent="0.25">
      <c r="A20" s="115">
        <v>1995</v>
      </c>
      <c r="B20" s="117">
        <v>3964.45</v>
      </c>
      <c r="C20" s="117">
        <v>118934</v>
      </c>
    </row>
    <row r="21" spans="1:3" x14ac:dyDescent="0.25">
      <c r="A21" s="115">
        <v>1996</v>
      </c>
      <c r="B21" s="116">
        <v>4737.5</v>
      </c>
      <c r="C21" s="116">
        <v>142125</v>
      </c>
    </row>
    <row r="22" spans="1:3" x14ac:dyDescent="0.25">
      <c r="A22" s="115">
        <v>1997</v>
      </c>
      <c r="B22" s="117">
        <v>5733.5</v>
      </c>
      <c r="C22" s="117">
        <v>172005</v>
      </c>
    </row>
    <row r="23" spans="1:3" x14ac:dyDescent="0.25">
      <c r="A23" s="115">
        <v>1998</v>
      </c>
      <c r="B23" s="116">
        <v>6794.2</v>
      </c>
      <c r="C23" s="116">
        <v>203826</v>
      </c>
    </row>
    <row r="24" spans="1:3" x14ac:dyDescent="0.25">
      <c r="A24" s="115">
        <v>1999</v>
      </c>
      <c r="B24" s="117">
        <v>7882</v>
      </c>
      <c r="C24" s="117">
        <v>236460</v>
      </c>
    </row>
    <row r="25" spans="1:3" x14ac:dyDescent="0.25">
      <c r="A25" s="115">
        <v>2000</v>
      </c>
      <c r="B25" s="116">
        <v>8670</v>
      </c>
      <c r="C25" s="116">
        <v>260100</v>
      </c>
    </row>
    <row r="26" spans="1:3" x14ac:dyDescent="0.25">
      <c r="A26" s="115">
        <v>2001</v>
      </c>
      <c r="B26" s="117">
        <v>9533.33</v>
      </c>
      <c r="C26" s="117">
        <v>286000</v>
      </c>
    </row>
    <row r="27" spans="1:3" x14ac:dyDescent="0.25">
      <c r="A27" s="115">
        <v>2002</v>
      </c>
      <c r="B27" s="116">
        <v>10300</v>
      </c>
      <c r="C27" s="116">
        <v>309000</v>
      </c>
    </row>
    <row r="28" spans="1:3" x14ac:dyDescent="0.25">
      <c r="A28" s="115">
        <v>2003</v>
      </c>
      <c r="B28" s="117">
        <v>11066.67</v>
      </c>
      <c r="C28" s="117">
        <v>332000</v>
      </c>
    </row>
    <row r="29" spans="1:3" x14ac:dyDescent="0.25">
      <c r="A29" s="115">
        <v>2004</v>
      </c>
      <c r="B29" s="116">
        <v>11933.33</v>
      </c>
      <c r="C29" s="116">
        <v>358000</v>
      </c>
    </row>
    <row r="30" spans="1:3" x14ac:dyDescent="0.25">
      <c r="A30" s="115">
        <v>2005</v>
      </c>
      <c r="B30" s="117">
        <v>12716.67</v>
      </c>
      <c r="C30" s="117">
        <v>381500</v>
      </c>
    </row>
    <row r="31" spans="1:3" x14ac:dyDescent="0.25">
      <c r="A31" s="115">
        <v>2006</v>
      </c>
      <c r="B31" s="116">
        <v>13600</v>
      </c>
      <c r="C31" s="116">
        <v>408000</v>
      </c>
    </row>
    <row r="32" spans="1:3" x14ac:dyDescent="0.25">
      <c r="A32" s="115">
        <v>2007</v>
      </c>
      <c r="B32" s="117">
        <v>14456.67</v>
      </c>
      <c r="C32" s="117">
        <v>433700</v>
      </c>
    </row>
    <row r="33" spans="1:3" x14ac:dyDescent="0.25">
      <c r="A33" s="115">
        <v>2008</v>
      </c>
      <c r="B33" s="116">
        <v>15383.33</v>
      </c>
      <c r="C33" s="116">
        <v>461500</v>
      </c>
    </row>
    <row r="34" spans="1:3" x14ac:dyDescent="0.25">
      <c r="A34" s="115">
        <v>2009</v>
      </c>
      <c r="B34" s="117">
        <v>16563.330000000002</v>
      </c>
      <c r="C34" s="117">
        <v>496900</v>
      </c>
    </row>
    <row r="35" spans="1:3" x14ac:dyDescent="0.25">
      <c r="A35" s="115">
        <v>2010</v>
      </c>
      <c r="B35" s="116">
        <v>17166.669999999998</v>
      </c>
      <c r="C35" s="116">
        <v>515000</v>
      </c>
    </row>
    <row r="36" spans="1:3" x14ac:dyDescent="0.25">
      <c r="A36" s="115">
        <v>2011</v>
      </c>
      <c r="B36" s="117">
        <v>17853.330000000002</v>
      </c>
      <c r="C36" s="117">
        <v>535600</v>
      </c>
    </row>
    <row r="37" spans="1:3" x14ac:dyDescent="0.25">
      <c r="A37" s="115">
        <v>2012</v>
      </c>
      <c r="B37" s="116">
        <v>18890</v>
      </c>
      <c r="C37" s="116">
        <v>566700</v>
      </c>
    </row>
    <row r="38" spans="1:3" x14ac:dyDescent="0.25">
      <c r="A38" s="115">
        <v>2013</v>
      </c>
      <c r="B38" s="117">
        <v>19650</v>
      </c>
      <c r="C38" s="117">
        <v>589500</v>
      </c>
    </row>
    <row r="39" spans="1:3" x14ac:dyDescent="0.25">
      <c r="A39" s="115">
        <v>2014</v>
      </c>
      <c r="B39" s="116">
        <v>20533.330000000002</v>
      </c>
      <c r="C39" s="116">
        <v>616000</v>
      </c>
    </row>
    <row r="40" spans="1:3" x14ac:dyDescent="0.25">
      <c r="A40" s="115">
        <v>2015</v>
      </c>
      <c r="B40" s="117">
        <v>21478.33</v>
      </c>
      <c r="C40" s="117">
        <v>644350</v>
      </c>
    </row>
    <row r="41" spans="1:3" x14ac:dyDescent="0.25">
      <c r="A41" s="115">
        <v>2016</v>
      </c>
      <c r="B41" s="116">
        <v>22981.83</v>
      </c>
      <c r="C41" s="116">
        <v>689455</v>
      </c>
    </row>
    <row r="42" spans="1:3" x14ac:dyDescent="0.25">
      <c r="A42" s="115">
        <v>2017</v>
      </c>
      <c r="B42" s="117">
        <v>24590.560000000001</v>
      </c>
      <c r="C42" s="117">
        <v>737717</v>
      </c>
    </row>
    <row r="43" spans="1:3" x14ac:dyDescent="0.25">
      <c r="A43" s="115">
        <v>2018</v>
      </c>
      <c r="B43" s="116">
        <v>26041.4</v>
      </c>
      <c r="C43" s="116">
        <v>781242</v>
      </c>
    </row>
    <row r="44" spans="1:3" x14ac:dyDescent="0.25">
      <c r="A44" s="118">
        <v>2019</v>
      </c>
      <c r="B44" s="119">
        <f>C44/30</f>
        <v>27603.866666666665</v>
      </c>
      <c r="C44" s="119">
        <v>828116</v>
      </c>
    </row>
    <row r="45" spans="1:3" x14ac:dyDescent="0.25">
      <c r="A45" s="118">
        <v>2020</v>
      </c>
      <c r="B45" s="119">
        <f>C45/30</f>
        <v>29260.1</v>
      </c>
      <c r="C45" s="119">
        <v>877803</v>
      </c>
    </row>
    <row r="46" spans="1:3" x14ac:dyDescent="0.25">
      <c r="A46" s="118">
        <v>2021</v>
      </c>
      <c r="B46" s="119">
        <f>C46/30</f>
        <v>30284.2</v>
      </c>
      <c r="C46" s="119">
        <v>908526</v>
      </c>
    </row>
    <row r="47" spans="1:3" x14ac:dyDescent="0.25">
      <c r="A47" s="118">
        <v>2022</v>
      </c>
      <c r="B47" s="119">
        <f>+Tabla36[[#This Row],[Salario mínimo mensual]]/30</f>
        <v>33333.333333333336</v>
      </c>
      <c r="C47" s="119">
        <v>1000000</v>
      </c>
    </row>
    <row r="48" spans="1:3" x14ac:dyDescent="0.25">
      <c r="A48" s="118">
        <v>2023</v>
      </c>
      <c r="B48" s="119">
        <f>+Tabla36[[#This Row],[Salario mínimo mensual]]/30</f>
        <v>38666.666666666664</v>
      </c>
      <c r="C48" s="119">
        <v>1160000</v>
      </c>
    </row>
    <row r="49" spans="1:3" x14ac:dyDescent="0.25">
      <c r="A49" s="118">
        <v>2024</v>
      </c>
      <c r="B49" s="119">
        <f>+Tabla36[[#This Row],[Salario mínimo mensual]]/30</f>
        <v>43333.333333333336</v>
      </c>
      <c r="C49" s="119">
        <v>1300000</v>
      </c>
    </row>
    <row r="50" spans="1:3" x14ac:dyDescent="0.25">
      <c r="A50" s="118">
        <v>2025</v>
      </c>
      <c r="B50" s="119">
        <f>+C50/30</f>
        <v>47450</v>
      </c>
      <c r="C50" s="119">
        <v>1423500</v>
      </c>
    </row>
    <row r="51" spans="1:3" x14ac:dyDescent="0.25">
      <c r="A51" s="118">
        <v>2025</v>
      </c>
      <c r="B51" s="119">
        <f>+C51/30</f>
        <v>47450</v>
      </c>
      <c r="C51" s="119">
        <v>1423500</v>
      </c>
    </row>
    <row r="52" spans="1:3" x14ac:dyDescent="0.25">
      <c r="A52" s="118">
        <v>2026</v>
      </c>
      <c r="B52" s="119">
        <f>+C52/30</f>
        <v>58363.5</v>
      </c>
      <c r="C52" s="119">
        <v>1750905</v>
      </c>
    </row>
    <row r="53" spans="1:3" x14ac:dyDescent="0.25">
      <c r="A53" s="3" t="s">
        <v>192</v>
      </c>
    </row>
    <row r="54" spans="1:3" ht="24" x14ac:dyDescent="0.25">
      <c r="A54" s="3" t="s">
        <v>197</v>
      </c>
    </row>
    <row r="55" spans="1:3" x14ac:dyDescent="0.25">
      <c r="A55" s="3" t="s">
        <v>192</v>
      </c>
    </row>
    <row r="56" spans="1:3" ht="24" x14ac:dyDescent="0.25">
      <c r="A56" s="3" t="s">
        <v>198</v>
      </c>
    </row>
    <row r="57" spans="1:3" x14ac:dyDescent="0.25">
      <c r="A57" s="3" t="s">
        <v>192</v>
      </c>
    </row>
    <row r="58" spans="1:3" x14ac:dyDescent="0.25">
      <c r="A58" s="1" t="s">
        <v>192</v>
      </c>
    </row>
  </sheetData>
  <mergeCells count="2">
    <mergeCell ref="A1:D1"/>
    <mergeCell ref="A2:D2"/>
  </mergeCells>
  <hyperlinks>
    <hyperlink ref="A54" r:id="rId1" xr:uid="{00000000-0004-0000-0300-000000000000}"/>
  </hyperlinks>
  <pageMargins left="0.7" right="0.7" top="0.75" bottom="0.75" header="0.3" footer="0.3"/>
  <pageSetup orientation="portrait"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5:Z30"/>
  <sheetViews>
    <sheetView showGridLines="0" view="pageBreakPreview" topLeftCell="A13" zoomScale="84" zoomScaleNormal="70" zoomScaleSheetLayoutView="70" workbookViewId="0">
      <selection activeCell="D17" sqref="D17"/>
    </sheetView>
  </sheetViews>
  <sheetFormatPr baseColWidth="10" defaultColWidth="11.42578125" defaultRowHeight="15" x14ac:dyDescent="0.25"/>
  <cols>
    <col min="1" max="1" width="11.42578125" style="4"/>
    <col min="2" max="2" width="9.42578125" style="4" bestFit="1" customWidth="1"/>
    <col min="3" max="3" width="41.42578125" style="4" bestFit="1" customWidth="1"/>
    <col min="4" max="4" width="21.28515625" style="4" customWidth="1"/>
    <col min="5" max="5" width="19.140625" style="4" customWidth="1"/>
    <col min="6" max="6" width="20.42578125" style="4" customWidth="1"/>
    <col min="7" max="7" width="69.42578125" style="4" customWidth="1"/>
    <col min="8" max="11" width="13.140625" style="4" customWidth="1"/>
    <col min="12" max="15" width="13.42578125" style="4" customWidth="1"/>
    <col min="16" max="16" width="15" style="4" customWidth="1"/>
    <col min="17" max="17" width="18.85546875" style="4" bestFit="1" customWidth="1"/>
    <col min="18" max="18" width="20.85546875" style="4" bestFit="1" customWidth="1"/>
    <col min="19" max="19" width="13.42578125" style="4" customWidth="1"/>
    <col min="20" max="22" width="12.140625" style="4" customWidth="1"/>
    <col min="23" max="23" width="17.42578125" style="4" customWidth="1"/>
    <col min="24" max="24" width="15.42578125" style="4" customWidth="1"/>
    <col min="25" max="25" width="17" style="4" customWidth="1"/>
    <col min="26" max="26" width="61.28515625" style="4" customWidth="1"/>
    <col min="27" max="16384" width="11.42578125" style="4"/>
  </cols>
  <sheetData>
    <row r="5" spans="3:7" ht="11.25" customHeight="1" x14ac:dyDescent="0.25"/>
    <row r="6" spans="3:7" ht="18.75" customHeight="1" x14ac:dyDescent="0.25">
      <c r="C6" s="218" t="s">
        <v>27</v>
      </c>
      <c r="D6" s="218"/>
      <c r="E6" s="218"/>
      <c r="F6" s="218"/>
    </row>
    <row r="7" spans="3:7" x14ac:dyDescent="0.25">
      <c r="C7" s="218" t="s">
        <v>199</v>
      </c>
      <c r="D7" s="218"/>
      <c r="E7" s="218"/>
      <c r="F7" s="218"/>
    </row>
    <row r="8" spans="3:7" x14ac:dyDescent="0.25">
      <c r="C8" s="219" t="s">
        <v>200</v>
      </c>
      <c r="D8" s="219"/>
      <c r="E8" s="219"/>
      <c r="F8" s="219"/>
      <c r="G8" s="219"/>
    </row>
    <row r="9" spans="3:7" x14ac:dyDescent="0.25">
      <c r="C9" s="219"/>
      <c r="D9" s="219"/>
      <c r="E9" s="219"/>
      <c r="F9" s="219"/>
      <c r="G9" s="219"/>
    </row>
    <row r="10" spans="3:7" x14ac:dyDescent="0.25">
      <c r="C10" s="38"/>
      <c r="D10" s="38"/>
      <c r="E10" s="38"/>
      <c r="F10" s="38"/>
      <c r="G10" s="38"/>
    </row>
    <row r="11" spans="3:7" ht="16.5" x14ac:dyDescent="0.3">
      <c r="C11" s="5" t="s">
        <v>30</v>
      </c>
      <c r="D11" s="105">
        <v>1052217002</v>
      </c>
      <c r="G11" s="6"/>
    </row>
    <row r="12" spans="3:7" x14ac:dyDescent="0.25">
      <c r="C12" s="5" t="s">
        <v>31</v>
      </c>
      <c r="D12" s="80">
        <v>2024</v>
      </c>
      <c r="G12" s="6"/>
    </row>
    <row r="13" spans="3:7" x14ac:dyDescent="0.25">
      <c r="C13" s="5" t="s">
        <v>32</v>
      </c>
      <c r="D13" s="82">
        <f>D11/(VLOOKUP($D$12,Tabla36[#All],3,FALSE))</f>
        <v>809.39769384615386</v>
      </c>
      <c r="F13" s="33"/>
    </row>
    <row r="14" spans="3:7" x14ac:dyDescent="0.25">
      <c r="C14" s="5" t="s">
        <v>33</v>
      </c>
      <c r="D14" s="82" t="e">
        <f>+F20</f>
        <v>#N/A</v>
      </c>
      <c r="E14" s="39" t="e">
        <f>IF(D14&gt;=D13,"CUMPLE","NO CUMPLE")</f>
        <v>#N/A</v>
      </c>
      <c r="F14" s="33"/>
    </row>
    <row r="15" spans="3:7" x14ac:dyDescent="0.25">
      <c r="C15" s="5" t="s">
        <v>201</v>
      </c>
      <c r="D15" s="83">
        <v>45373</v>
      </c>
      <c r="F15" s="8"/>
    </row>
    <row r="16" spans="3:7" ht="45" x14ac:dyDescent="0.25">
      <c r="C16" s="5" t="s">
        <v>34</v>
      </c>
      <c r="D16" s="7" t="s">
        <v>202</v>
      </c>
      <c r="E16" s="5" t="s">
        <v>203</v>
      </c>
      <c r="F16" s="5" t="s">
        <v>204</v>
      </c>
    </row>
    <row r="17" spans="2:26" x14ac:dyDescent="0.25">
      <c r="C17" s="220" t="s">
        <v>205</v>
      </c>
      <c r="D17" s="7"/>
      <c r="E17" s="34"/>
      <c r="F17" s="35" t="e">
        <f>VLOOKUP(D17,Tabla24[[#Headers],[#Data],[Contratista o Integrante que aporta experiencia]:[Valor Total Ejecutado del Contrato expresado en SMMLV]],15,0)</f>
        <v>#N/A</v>
      </c>
    </row>
    <row r="18" spans="2:26" x14ac:dyDescent="0.25">
      <c r="C18" s="221"/>
      <c r="D18" s="32"/>
      <c r="E18" s="34"/>
      <c r="F18" s="35" t="e">
        <f>VLOOKUP(D18,Tabla24[[#Headers],[#Data],[Contratista o Integrante que aporta experiencia]:[Valor Total Ejecutado del Contrato expresado en SMMLV]],15,0)</f>
        <v>#N/A</v>
      </c>
    </row>
    <row r="19" spans="2:26" x14ac:dyDescent="0.25">
      <c r="C19" s="222"/>
      <c r="D19" s="32"/>
      <c r="E19" s="34"/>
      <c r="F19" s="35" t="e">
        <f>VLOOKUP(D19,Tabla24[[#Headers],[#Data],[Contratista o Integrante que aporta experiencia]:[Valor Total Ejecutado del Contrato expresado en SMMLV]],15,0)</f>
        <v>#N/A</v>
      </c>
    </row>
    <row r="20" spans="2:26" x14ac:dyDescent="0.25">
      <c r="C20" s="5" t="s">
        <v>35</v>
      </c>
      <c r="D20" s="183">
        <f>COUNT(Tabla24[No. ])</f>
        <v>3</v>
      </c>
      <c r="E20" s="183"/>
      <c r="F20" s="79" t="e">
        <f>SUM(F17:F19)</f>
        <v>#N/A</v>
      </c>
    </row>
    <row r="21" spans="2:26" ht="30" x14ac:dyDescent="0.25">
      <c r="C21" s="5" t="s">
        <v>206</v>
      </c>
      <c r="D21" s="36"/>
      <c r="E21" s="81"/>
      <c r="F21" s="33"/>
    </row>
    <row r="22" spans="2:26" ht="30" x14ac:dyDescent="0.25">
      <c r="C22" s="5" t="s">
        <v>40</v>
      </c>
      <c r="D22" s="36" t="s">
        <v>207</v>
      </c>
      <c r="E22" s="7" t="s">
        <v>15</v>
      </c>
      <c r="F22" s="33"/>
    </row>
    <row r="23" spans="2:26" ht="30" x14ac:dyDescent="0.25">
      <c r="C23" s="5" t="s">
        <v>208</v>
      </c>
      <c r="D23" s="36" t="s">
        <v>207</v>
      </c>
      <c r="E23" s="7" t="s">
        <v>15</v>
      </c>
      <c r="F23" s="33"/>
    </row>
    <row r="24" spans="2:26" x14ac:dyDescent="0.25">
      <c r="C24" s="5" t="s">
        <v>42</v>
      </c>
      <c r="D24" s="7" t="s">
        <v>15</v>
      </c>
      <c r="E24" s="223"/>
      <c r="F24" s="223"/>
    </row>
    <row r="26" spans="2:26" x14ac:dyDescent="0.25">
      <c r="F26" s="78"/>
      <c r="T26" s="178" t="s">
        <v>44</v>
      </c>
      <c r="U26" s="178"/>
      <c r="V26" s="178"/>
      <c r="W26" s="179" t="s">
        <v>5</v>
      </c>
      <c r="X26" s="179"/>
    </row>
    <row r="27" spans="2:26" s="9" customFormat="1" ht="96.75" customHeight="1" x14ac:dyDescent="0.25">
      <c r="B27" s="10" t="s">
        <v>45</v>
      </c>
      <c r="C27" s="11" t="s">
        <v>46</v>
      </c>
      <c r="D27" s="11" t="s">
        <v>47</v>
      </c>
      <c r="E27" s="11" t="s">
        <v>48</v>
      </c>
      <c r="F27" s="11" t="s">
        <v>49</v>
      </c>
      <c r="G27" s="11" t="s">
        <v>50</v>
      </c>
      <c r="H27" s="11" t="s">
        <v>51</v>
      </c>
      <c r="I27" s="11" t="s">
        <v>52</v>
      </c>
      <c r="J27" s="11" t="s">
        <v>53</v>
      </c>
      <c r="K27" s="11" t="s">
        <v>54</v>
      </c>
      <c r="L27" s="11" t="s">
        <v>55</v>
      </c>
      <c r="M27" s="11" t="s">
        <v>56</v>
      </c>
      <c r="N27" s="11" t="s">
        <v>57</v>
      </c>
      <c r="O27" s="11" t="s">
        <v>58</v>
      </c>
      <c r="P27" s="11" t="s">
        <v>59</v>
      </c>
      <c r="Q27" s="11" t="s">
        <v>60</v>
      </c>
      <c r="R27" s="11" t="s">
        <v>61</v>
      </c>
      <c r="S27" s="11" t="s">
        <v>62</v>
      </c>
      <c r="T27" s="11" t="s">
        <v>209</v>
      </c>
      <c r="U27" s="11" t="s">
        <v>210</v>
      </c>
      <c r="V27" s="11" t="s">
        <v>211</v>
      </c>
      <c r="W27" s="11" t="s">
        <v>212</v>
      </c>
      <c r="X27" s="11" t="s">
        <v>213</v>
      </c>
      <c r="Y27" s="11" t="s">
        <v>214</v>
      </c>
      <c r="Z27" s="11" t="s">
        <v>12</v>
      </c>
    </row>
    <row r="28" spans="2:26" x14ac:dyDescent="0.25">
      <c r="B28" s="12">
        <v>1</v>
      </c>
      <c r="C28" s="13"/>
      <c r="D28" s="13"/>
      <c r="E28" s="13"/>
      <c r="F28" s="13"/>
      <c r="G28" s="14"/>
      <c r="H28" s="15"/>
      <c r="I28" s="16"/>
      <c r="J28" s="16"/>
      <c r="K28" s="17"/>
      <c r="L28" s="18"/>
      <c r="M28" s="19"/>
      <c r="N28" s="19"/>
      <c r="O28" s="77">
        <f>YEAR(Tabla24[[#This Row],[Fecha de Terminacion]])</f>
        <v>1900</v>
      </c>
      <c r="P28" s="21">
        <f>+Tabla24[[#This Row],[SMMLV RUP]]*Tabla24[[#This Row],[% de Participacion]]</f>
        <v>0</v>
      </c>
      <c r="Q28" s="20"/>
      <c r="R28" s="75" t="e">
        <f>VLOOKUP(Tabla24[[#This Row],[Año de Terminación]],Tabla36[[Año]:[Salario mínimo mensual]],3,0)</f>
        <v>#N/A</v>
      </c>
      <c r="S28" s="75" t="e">
        <f>+Tabla24[[#This Row],[Valor Total Ejecutado del Contrato ($)]]/Tabla24[[#This Row],[SMMLV AÑO DE TERMINACIÓN]]*Tabla24[[#This Row],[% de Participacion]]</f>
        <v>#N/A</v>
      </c>
      <c r="T28" s="18" t="s">
        <v>215</v>
      </c>
      <c r="U28" s="18" t="s">
        <v>215</v>
      </c>
      <c r="V28" s="18" t="s">
        <v>215</v>
      </c>
      <c r="W28" s="18"/>
      <c r="X28" s="18"/>
      <c r="Y28" s="18"/>
      <c r="Z28" s="22"/>
    </row>
    <row r="29" spans="2:26" x14ac:dyDescent="0.25">
      <c r="B29" s="12">
        <v>2</v>
      </c>
      <c r="C29" s="13"/>
      <c r="D29" s="13"/>
      <c r="E29" s="17"/>
      <c r="F29" s="17"/>
      <c r="G29" s="14"/>
      <c r="H29" s="17"/>
      <c r="I29" s="16"/>
      <c r="J29" s="16"/>
      <c r="K29" s="17"/>
      <c r="L29" s="21"/>
      <c r="M29" s="21"/>
      <c r="N29" s="19"/>
      <c r="O29" s="77">
        <f>YEAR(Tabla24[[#This Row],[Fecha de Terminacion]])</f>
        <v>1900</v>
      </c>
      <c r="P29" s="21">
        <f>+Tabla24[[#This Row],[SMMLV RUP]]*Tabla24[[#This Row],[% de Participacion]]</f>
        <v>0</v>
      </c>
      <c r="Q29" s="20"/>
      <c r="R29" s="74" t="e">
        <f>VLOOKUP(Tabla24[[#This Row],[Año de Terminación]],Tabla36[[Año]:[Salario mínimo mensual]],3,0)</f>
        <v>#N/A</v>
      </c>
      <c r="S29" s="75" t="e">
        <f>+Tabla24[[#This Row],[Valor Total Ejecutado del Contrato ($)]]/Tabla24[[#This Row],[SMMLV AÑO DE TERMINACIÓN]]*Tabla24[[#This Row],[% de Participacion]]</f>
        <v>#N/A</v>
      </c>
      <c r="T29" s="21"/>
      <c r="U29" s="21"/>
      <c r="V29" s="21"/>
      <c r="W29" s="21"/>
      <c r="X29" s="21"/>
      <c r="Y29" s="18"/>
      <c r="Z29" s="22"/>
    </row>
    <row r="30" spans="2:26" x14ac:dyDescent="0.25">
      <c r="B30" s="23">
        <v>3</v>
      </c>
      <c r="C30" s="24"/>
      <c r="D30" s="24"/>
      <c r="E30" s="25"/>
      <c r="F30" s="25"/>
      <c r="G30" s="26"/>
      <c r="H30" s="25"/>
      <c r="I30" s="27"/>
      <c r="J30" s="27"/>
      <c r="K30" s="25"/>
      <c r="L30" s="28"/>
      <c r="M30" s="28"/>
      <c r="N30" s="29"/>
      <c r="O30" s="77">
        <f>YEAR(Tabla24[[#This Row],[Fecha de Terminacion]])</f>
        <v>1900</v>
      </c>
      <c r="P30" s="21">
        <f>+Tabla24[[#This Row],[SMMLV RUP]]*Tabla24[[#This Row],[% de Participacion]]</f>
        <v>0</v>
      </c>
      <c r="Q30" s="30"/>
      <c r="R30" s="76" t="e">
        <f>VLOOKUP(Tabla24[[#This Row],[Año de Terminación]],Tabla36[[Año]:[Salario mínimo mensual]],3,0)</f>
        <v>#N/A</v>
      </c>
      <c r="S30" s="75" t="e">
        <f>+Tabla24[[#This Row],[Valor Total Ejecutado del Contrato ($)]]/Tabla24[[#This Row],[SMMLV AÑO DE TERMINACIÓN]]*Tabla24[[#This Row],[% de Participacion]]</f>
        <v>#N/A</v>
      </c>
      <c r="T30" s="28"/>
      <c r="U30" s="28"/>
      <c r="V30" s="28"/>
      <c r="W30" s="28"/>
      <c r="Y30" s="37"/>
      <c r="Z30" s="31"/>
    </row>
  </sheetData>
  <mergeCells count="8">
    <mergeCell ref="T26:V26"/>
    <mergeCell ref="W26:X26"/>
    <mergeCell ref="C6:F6"/>
    <mergeCell ref="C7:F7"/>
    <mergeCell ref="C8:G9"/>
    <mergeCell ref="C17:C19"/>
    <mergeCell ref="D20:E20"/>
    <mergeCell ref="E24:F24"/>
  </mergeCells>
  <pageMargins left="0.7" right="0.7" top="0.75" bottom="0.75" header="0.3" footer="0.3"/>
  <pageSetup paperSize="9" scale="17"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CONSOLIDADO</vt:lpstr>
      <vt:lpstr>CONTROL REGIONAL DE HIGIENE MAN</vt:lpstr>
      <vt:lpstr>D&amp;G INTEGRAL SERVICES SAS</vt:lpstr>
      <vt:lpstr>GLOBAL SANEAMIENTO AMBIENTAL SA</vt:lpstr>
      <vt:lpstr>AMBICOL SERVICES SAS</vt:lpstr>
      <vt:lpstr>ECOFLORA</vt:lpstr>
      <vt:lpstr>FUMISERVICES SAS</vt:lpstr>
      <vt:lpstr>EOS CGD SAS</vt:lpstr>
      <vt:lpstr>FUMISEX SAS</vt:lpstr>
      <vt:lpstr>FUMIGACIONES EL TRIUNFO CAR</vt:lpstr>
      <vt:lpstr>Ponderables</vt:lpstr>
      <vt:lpstr>SMMLV</vt:lpstr>
      <vt:lpstr>Experiencia (2)</vt:lpstr>
      <vt:lpstr>'Experiencia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dc:creator>
  <cp:keywords/>
  <dc:description/>
  <cp:lastModifiedBy>Flor Marina Bustos Chila</cp:lastModifiedBy>
  <cp:revision/>
  <dcterms:created xsi:type="dcterms:W3CDTF">2021-11-19T17:26:07Z</dcterms:created>
  <dcterms:modified xsi:type="dcterms:W3CDTF">2026-05-06T14:40:43Z</dcterms:modified>
  <cp:category/>
  <cp:contentStatus/>
</cp:coreProperties>
</file>